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360" tabRatio="917" activeTab="9"/>
  </bookViews>
  <sheets>
    <sheet name="Indicatori 2" sheetId="11" r:id="rId1"/>
    <sheet name="Indicatori" sheetId="10" r:id="rId2"/>
    <sheet name="ACB" sheetId="17" r:id="rId3"/>
    <sheet name="bilant" sheetId="15" r:id="rId4"/>
    <sheet name="lot 4" sheetId="2" r:id="rId5"/>
    <sheet name="lot 4 foto" sheetId="16" r:id="rId6"/>
    <sheet name="AIL EXISTENT" sheetId="13" r:id="rId7"/>
    <sheet name="AIL PROIECTAT" sheetId="20" r:id="rId8"/>
    <sheet name="DG LED" sheetId="21" r:id="rId9"/>
    <sheet name="DG SODIU" sheetId="22" r:id="rId10"/>
    <sheet name="Energie" sheetId="23" r:id="rId11"/>
    <sheet name="Intretinere" sheetId="24" r:id="rId12"/>
    <sheet name="Existent" sheetId="25" r:id="rId13"/>
    <sheet name="Proiectat" sheetId="26" r:id="rId14"/>
  </sheets>
  <externalReferences>
    <externalReference r:id="rId15"/>
  </externalReferences>
  <definedNames>
    <definedName name="_xlnm.Print_Area" localSheetId="6">'AIL EXISTENT'!$A$1:$J$9</definedName>
    <definedName name="_xlnm.Print_Area" localSheetId="8">'DG LED'!$A$4:$E$95</definedName>
    <definedName name="_xlnm.Print_Area" localSheetId="9">'DG SODIU'!$A$4:$E$95</definedName>
    <definedName name="_xlnm.Print_Area" localSheetId="4">'lot 4'!$A$1:$AM$56</definedName>
    <definedName name="_xlnm.Print_Area" localSheetId="5">'lot 4 foto'!$A$1:$AL$8</definedName>
    <definedName name="_xlnm.Print_Titles" localSheetId="4">'lot 4'!$4:$5</definedName>
  </definedNames>
  <calcPr calcId="152511"/>
</workbook>
</file>

<file path=xl/calcChain.xml><?xml version="1.0" encoding="utf-8"?>
<calcChain xmlns="http://schemas.openxmlformats.org/spreadsheetml/2006/main">
  <c r="H21" i="15" l="1"/>
  <c r="H27" i="15"/>
  <c r="J95" i="21" l="1"/>
  <c r="K95" i="21" s="1"/>
  <c r="J94" i="21"/>
  <c r="K94" i="21" s="1"/>
  <c r="AS88" i="21" l="1"/>
  <c r="I34" i="15"/>
  <c r="E27" i="15" l="1"/>
  <c r="E21" i="15"/>
  <c r="A8" i="20"/>
  <c r="A9" i="20" s="1"/>
  <c r="D10" i="20"/>
  <c r="G9" i="20"/>
  <c r="H9" i="20" s="1"/>
  <c r="I9" i="20" s="1"/>
  <c r="H8" i="20"/>
  <c r="I8" i="20" s="1"/>
  <c r="D5" i="20"/>
  <c r="J14" i="15" l="1"/>
  <c r="I54" i="26" l="1"/>
  <c r="I53" i="26"/>
  <c r="I52" i="26"/>
  <c r="E48" i="26"/>
  <c r="D48" i="26"/>
  <c r="E41" i="26"/>
  <c r="D41" i="26"/>
  <c r="E24" i="26"/>
  <c r="E42" i="26" s="1"/>
  <c r="D24" i="26"/>
  <c r="D42" i="26" s="1"/>
  <c r="D63" i="25"/>
  <c r="C63" i="25"/>
  <c r="E62" i="25"/>
  <c r="D62" i="25"/>
  <c r="C62" i="25"/>
  <c r="E35" i="25"/>
  <c r="D67" i="25" s="1"/>
  <c r="D35" i="25"/>
  <c r="D66" i="25" s="1"/>
  <c r="C35" i="25"/>
  <c r="O10" i="25"/>
  <c r="O8" i="25"/>
  <c r="O7" i="25"/>
  <c r="O6" i="25"/>
  <c r="L9" i="24" l="1"/>
  <c r="L8" i="24"/>
  <c r="E48" i="23"/>
  <c r="D48" i="23"/>
  <c r="Y45" i="23"/>
  <c r="U41" i="23"/>
  <c r="T41" i="23"/>
  <c r="S45" i="23" s="1"/>
  <c r="S41" i="23"/>
  <c r="E41" i="23"/>
  <c r="D41" i="23"/>
  <c r="E24" i="23"/>
  <c r="E42" i="23" s="1"/>
  <c r="D24" i="23"/>
  <c r="D42" i="23" s="1"/>
  <c r="D10" i="10"/>
  <c r="D7" i="20"/>
  <c r="D6" i="20"/>
  <c r="AQ86" i="22"/>
  <c r="AP86" i="22"/>
  <c r="AM86" i="22"/>
  <c r="AI86" i="22"/>
  <c r="AH86" i="22"/>
  <c r="AG86" i="22"/>
  <c r="AF86" i="22"/>
  <c r="AE86" i="22"/>
  <c r="AA86" i="22"/>
  <c r="W86" i="22"/>
  <c r="V86" i="22"/>
  <c r="U86" i="22"/>
  <c r="T86" i="22"/>
  <c r="S86" i="22"/>
  <c r="R86" i="22"/>
  <c r="Q86" i="22"/>
  <c r="P86" i="22"/>
  <c r="O86" i="22"/>
  <c r="N86" i="22"/>
  <c r="M86" i="22"/>
  <c r="L86" i="22"/>
  <c r="K86" i="22"/>
  <c r="J86" i="22"/>
  <c r="I86" i="22"/>
  <c r="H86" i="22"/>
  <c r="C85" i="22"/>
  <c r="D85" i="22" s="1"/>
  <c r="D84" i="22"/>
  <c r="E84" i="22" s="1"/>
  <c r="D83" i="22"/>
  <c r="E83" i="22" s="1"/>
  <c r="D79" i="22"/>
  <c r="E79" i="22" s="1"/>
  <c r="E77" i="22"/>
  <c r="D73" i="22"/>
  <c r="D72" i="22" s="1"/>
  <c r="D71" i="22"/>
  <c r="D69" i="22" s="1"/>
  <c r="D70" i="22"/>
  <c r="E70" i="22" s="1"/>
  <c r="C69" i="22"/>
  <c r="C66" i="22"/>
  <c r="C76" i="22" s="1"/>
  <c r="E76" i="22" s="1"/>
  <c r="E65" i="22"/>
  <c r="D65" i="22"/>
  <c r="D64" i="22"/>
  <c r="E64" i="22" s="1"/>
  <c r="E63" i="22"/>
  <c r="D63" i="22"/>
  <c r="D62" i="22"/>
  <c r="E62" i="22" s="1"/>
  <c r="E61" i="22"/>
  <c r="D61" i="22"/>
  <c r="AO60" i="22"/>
  <c r="AO86" i="22" s="1"/>
  <c r="AN60" i="22"/>
  <c r="AN86" i="22" s="1"/>
  <c r="AM60" i="22"/>
  <c r="AL60" i="22"/>
  <c r="AL86" i="22" s="1"/>
  <c r="AK60" i="22"/>
  <c r="AK86" i="22" s="1"/>
  <c r="AJ60" i="22"/>
  <c r="AJ86" i="22" s="1"/>
  <c r="AI60" i="22"/>
  <c r="AD60" i="22"/>
  <c r="AD86" i="22" s="1"/>
  <c r="AC60" i="22"/>
  <c r="AC86" i="22" s="1"/>
  <c r="AB60" i="22"/>
  <c r="AB86" i="22" s="1"/>
  <c r="AA60" i="22"/>
  <c r="Z60" i="22"/>
  <c r="Z86" i="22" s="1"/>
  <c r="Y60" i="22"/>
  <c r="Y86" i="22" s="1"/>
  <c r="X60" i="22"/>
  <c r="X86" i="22" s="1"/>
  <c r="C60" i="22"/>
  <c r="D56" i="22"/>
  <c r="E56" i="22" s="1"/>
  <c r="E55" i="22"/>
  <c r="D55" i="22"/>
  <c r="D54" i="22"/>
  <c r="E54" i="22" s="1"/>
  <c r="E53" i="22" s="1"/>
  <c r="C53" i="22"/>
  <c r="D53" i="22" s="1"/>
  <c r="D52" i="22" s="1"/>
  <c r="D51" i="22"/>
  <c r="E51" i="22" s="1"/>
  <c r="E50" i="22"/>
  <c r="D50" i="22"/>
  <c r="D49" i="22"/>
  <c r="E49" i="22" s="1"/>
  <c r="C48" i="22"/>
  <c r="D48" i="22" s="1"/>
  <c r="E48" i="22" s="1"/>
  <c r="E47" i="22" s="1"/>
  <c r="D46" i="22"/>
  <c r="E46" i="22" s="1"/>
  <c r="E45" i="22"/>
  <c r="D45" i="22"/>
  <c r="D44" i="22"/>
  <c r="E44" i="22" s="1"/>
  <c r="E43" i="22"/>
  <c r="D43" i="22"/>
  <c r="D42" i="22"/>
  <c r="E42" i="22" s="1"/>
  <c r="E41" i="22"/>
  <c r="D41" i="22"/>
  <c r="D40" i="22"/>
  <c r="E40" i="22" s="1"/>
  <c r="C39" i="22"/>
  <c r="D39" i="22" s="1"/>
  <c r="E39" i="22" s="1"/>
  <c r="E38" i="22"/>
  <c r="D38" i="22"/>
  <c r="D37" i="22"/>
  <c r="E37" i="22" s="1"/>
  <c r="E36" i="22"/>
  <c r="E35" i="22"/>
  <c r="D35" i="22"/>
  <c r="D34" i="22"/>
  <c r="E34" i="22" s="1"/>
  <c r="D33" i="22"/>
  <c r="E33" i="22" s="1"/>
  <c r="D32" i="22"/>
  <c r="C32" i="22"/>
  <c r="C29" i="22"/>
  <c r="C88" i="22" s="1"/>
  <c r="D28" i="22"/>
  <c r="E28" i="22" s="1"/>
  <c r="E29" i="22" s="1"/>
  <c r="E24" i="22"/>
  <c r="D24" i="22"/>
  <c r="E23" i="22"/>
  <c r="D23" i="22"/>
  <c r="E22" i="22"/>
  <c r="D22" i="22"/>
  <c r="C21" i="22"/>
  <c r="C25" i="22" s="1"/>
  <c r="AQ86" i="21"/>
  <c r="AP86" i="21"/>
  <c r="AM86" i="21"/>
  <c r="AI86" i="21"/>
  <c r="AH86" i="21"/>
  <c r="AG86" i="21"/>
  <c r="AF86" i="21"/>
  <c r="AE86" i="21"/>
  <c r="AA86" i="21"/>
  <c r="W86" i="21"/>
  <c r="V86" i="21"/>
  <c r="U86" i="21"/>
  <c r="T86" i="21"/>
  <c r="S86" i="21"/>
  <c r="R86" i="21"/>
  <c r="Q86" i="21"/>
  <c r="P86" i="21"/>
  <c r="O86" i="21"/>
  <c r="N86" i="21"/>
  <c r="M86" i="21"/>
  <c r="L86" i="21"/>
  <c r="K86" i="21"/>
  <c r="J86" i="21"/>
  <c r="I86" i="21"/>
  <c r="H86" i="21"/>
  <c r="C85" i="21"/>
  <c r="D85" i="21" s="1"/>
  <c r="D84" i="21"/>
  <c r="E84" i="21" s="1"/>
  <c r="D83" i="21"/>
  <c r="E83" i="21" s="1"/>
  <c r="D79" i="21"/>
  <c r="E79" i="21" s="1"/>
  <c r="E77" i="21"/>
  <c r="D73" i="21"/>
  <c r="D72" i="21" s="1"/>
  <c r="D71" i="21"/>
  <c r="E71" i="21" s="1"/>
  <c r="D70" i="21"/>
  <c r="E70" i="21" s="1"/>
  <c r="D69" i="21"/>
  <c r="C69" i="21"/>
  <c r="C66" i="21"/>
  <c r="C76" i="21" s="1"/>
  <c r="E76" i="21" s="1"/>
  <c r="E65" i="21"/>
  <c r="D65" i="21"/>
  <c r="D64" i="21"/>
  <c r="E64" i="21" s="1"/>
  <c r="E63" i="21"/>
  <c r="D63" i="21"/>
  <c r="D62" i="21"/>
  <c r="E62" i="21" s="1"/>
  <c r="E61" i="21"/>
  <c r="D61" i="21"/>
  <c r="AO60" i="21"/>
  <c r="AO86" i="21" s="1"/>
  <c r="AN60" i="21"/>
  <c r="AN86" i="21" s="1"/>
  <c r="AM60" i="21"/>
  <c r="AL60" i="21"/>
  <c r="AL86" i="21" s="1"/>
  <c r="AK60" i="21"/>
  <c r="AK86" i="21" s="1"/>
  <c r="AJ60" i="21"/>
  <c r="AJ86" i="21" s="1"/>
  <c r="AI60" i="21"/>
  <c r="AD60" i="21"/>
  <c r="AD86" i="21" s="1"/>
  <c r="AC60" i="21"/>
  <c r="AC86" i="21" s="1"/>
  <c r="AB60" i="21"/>
  <c r="AB86" i="21" s="1"/>
  <c r="AA60" i="21"/>
  <c r="Z60" i="21"/>
  <c r="Z86" i="21" s="1"/>
  <c r="Y60" i="21"/>
  <c r="Y86" i="21" s="1"/>
  <c r="X60" i="21"/>
  <c r="X86" i="21" s="1"/>
  <c r="C60" i="21"/>
  <c r="D56" i="21"/>
  <c r="E56" i="21" s="1"/>
  <c r="E55" i="21"/>
  <c r="D55" i="21"/>
  <c r="D54" i="21"/>
  <c r="E54" i="21" s="1"/>
  <c r="E53" i="21" s="1"/>
  <c r="C53" i="21"/>
  <c r="D53" i="21" s="1"/>
  <c r="D52" i="21" s="1"/>
  <c r="D51" i="21"/>
  <c r="E51" i="21" s="1"/>
  <c r="E50" i="21"/>
  <c r="D50" i="21"/>
  <c r="D49" i="21"/>
  <c r="E49" i="21" s="1"/>
  <c r="C48" i="21"/>
  <c r="D48" i="21" s="1"/>
  <c r="E48" i="21" s="1"/>
  <c r="E47" i="21" s="1"/>
  <c r="D46" i="21"/>
  <c r="E46" i="21" s="1"/>
  <c r="E45" i="21"/>
  <c r="D45" i="21"/>
  <c r="D44" i="21"/>
  <c r="E44" i="21" s="1"/>
  <c r="E43" i="21"/>
  <c r="D43" i="21"/>
  <c r="D42" i="21"/>
  <c r="E42" i="21" s="1"/>
  <c r="E41" i="21"/>
  <c r="D41" i="21"/>
  <c r="D40" i="21"/>
  <c r="E40" i="21" s="1"/>
  <c r="C39" i="21"/>
  <c r="D39" i="21" s="1"/>
  <c r="E39" i="21" s="1"/>
  <c r="E38" i="21"/>
  <c r="D38" i="21"/>
  <c r="D37" i="21"/>
  <c r="E37" i="21" s="1"/>
  <c r="E36" i="21"/>
  <c r="E35" i="21"/>
  <c r="D35" i="21"/>
  <c r="D34" i="21"/>
  <c r="E34" i="21" s="1"/>
  <c r="E33" i="21"/>
  <c r="D33" i="21"/>
  <c r="D32" i="21"/>
  <c r="C32" i="21"/>
  <c r="D29" i="21"/>
  <c r="C29" i="21"/>
  <c r="C88" i="21" s="1"/>
  <c r="E28" i="21"/>
  <c r="E29" i="21" s="1"/>
  <c r="D28" i="21"/>
  <c r="D24" i="21"/>
  <c r="E24" i="21" s="1"/>
  <c r="E23" i="21"/>
  <c r="D23" i="21"/>
  <c r="D22" i="21"/>
  <c r="C21" i="21"/>
  <c r="C25" i="21" s="1"/>
  <c r="F16" i="15"/>
  <c r="F12" i="15"/>
  <c r="F10" i="15"/>
  <c r="F6" i="15"/>
  <c r="J53" i="2"/>
  <c r="K53" i="2" s="1"/>
  <c r="P53" i="2"/>
  <c r="R53" i="2" s="1"/>
  <c r="I53" i="2"/>
  <c r="O53" i="2"/>
  <c r="Q53" i="2" s="1"/>
  <c r="S53" i="2" s="1"/>
  <c r="J47" i="2"/>
  <c r="I47" i="2"/>
  <c r="J46" i="2"/>
  <c r="I46" i="2"/>
  <c r="Q44" i="2"/>
  <c r="R44" i="2"/>
  <c r="J44" i="2"/>
  <c r="I44" i="2"/>
  <c r="K44" i="2" s="1"/>
  <c r="Q42" i="2"/>
  <c r="R42" i="2"/>
  <c r="J42" i="2"/>
  <c r="I42" i="2"/>
  <c r="Q39" i="2"/>
  <c r="S39" i="2" s="1"/>
  <c r="R39" i="2"/>
  <c r="Q40" i="2"/>
  <c r="R40" i="2"/>
  <c r="J40" i="2"/>
  <c r="I40" i="2"/>
  <c r="J39" i="2"/>
  <c r="I39" i="2"/>
  <c r="J34" i="2"/>
  <c r="P34" i="2"/>
  <c r="R34" i="2" s="1"/>
  <c r="J33" i="2"/>
  <c r="P33" i="2"/>
  <c r="R33" i="2" s="1"/>
  <c r="I34" i="2"/>
  <c r="O34" i="2"/>
  <c r="Q34" i="2" s="1"/>
  <c r="I33" i="2"/>
  <c r="K33" i="2" s="1"/>
  <c r="O33" i="2"/>
  <c r="Q33" i="2" s="1"/>
  <c r="R24" i="2"/>
  <c r="R26" i="2"/>
  <c r="R29" i="2"/>
  <c r="J29" i="2"/>
  <c r="I29" i="2"/>
  <c r="O29" i="2"/>
  <c r="Q29" i="2" s="1"/>
  <c r="J26" i="2"/>
  <c r="I26" i="2"/>
  <c r="O26" i="2"/>
  <c r="Q26" i="2" s="1"/>
  <c r="J24" i="2"/>
  <c r="I24" i="2"/>
  <c r="O24" i="2"/>
  <c r="Q24" i="2" s="1"/>
  <c r="R21" i="2"/>
  <c r="R22" i="2"/>
  <c r="J22" i="2"/>
  <c r="J21" i="2"/>
  <c r="I22" i="2"/>
  <c r="O22" i="2"/>
  <c r="Q22" i="2" s="1"/>
  <c r="I21" i="2"/>
  <c r="O21" i="2"/>
  <c r="Q21" i="2" s="1"/>
  <c r="J18" i="2"/>
  <c r="P18" i="2"/>
  <c r="R18" i="2" s="1"/>
  <c r="I18" i="2"/>
  <c r="O18" i="2"/>
  <c r="Q18" i="2" s="1"/>
  <c r="J16" i="2"/>
  <c r="P16" i="2"/>
  <c r="R16" i="2" s="1"/>
  <c r="I16" i="2"/>
  <c r="O16" i="2"/>
  <c r="Q16" i="2" s="1"/>
  <c r="J13" i="2"/>
  <c r="P13" i="2"/>
  <c r="R13" i="2" s="1"/>
  <c r="I13" i="2"/>
  <c r="O13" i="2"/>
  <c r="Q13" i="2" s="1"/>
  <c r="Q11" i="2"/>
  <c r="S11" i="2" s="1"/>
  <c r="R11" i="2"/>
  <c r="J11" i="2"/>
  <c r="I11" i="2"/>
  <c r="H6" i="13"/>
  <c r="I6" i="13" s="1"/>
  <c r="G6" i="13"/>
  <c r="D8" i="13"/>
  <c r="E52" i="22" l="1"/>
  <c r="E85" i="22"/>
  <c r="H87" i="22"/>
  <c r="E69" i="22"/>
  <c r="D29" i="22"/>
  <c r="D88" i="22" s="1"/>
  <c r="E32" i="22"/>
  <c r="E71" i="22"/>
  <c r="C75" i="22"/>
  <c r="E75" i="22" s="1"/>
  <c r="C47" i="22"/>
  <c r="D47" i="22" s="1"/>
  <c r="D57" i="22" s="1"/>
  <c r="C52" i="22"/>
  <c r="D60" i="22"/>
  <c r="D66" i="22" s="1"/>
  <c r="E73" i="22"/>
  <c r="C78" i="22"/>
  <c r="D78" i="22" s="1"/>
  <c r="E78" i="22" s="1"/>
  <c r="D21" i="22"/>
  <c r="C74" i="22"/>
  <c r="E52" i="21"/>
  <c r="E85" i="21"/>
  <c r="H87" i="21"/>
  <c r="D88" i="21"/>
  <c r="E60" i="21"/>
  <c r="E66" i="21" s="1"/>
  <c r="E69" i="21"/>
  <c r="E22" i="21"/>
  <c r="C47" i="21"/>
  <c r="D47" i="21" s="1"/>
  <c r="D57" i="21" s="1"/>
  <c r="C52" i="21"/>
  <c r="D60" i="21"/>
  <c r="D66" i="21" s="1"/>
  <c r="E73" i="21"/>
  <c r="C78" i="21"/>
  <c r="D78" i="21" s="1"/>
  <c r="E78" i="21" s="1"/>
  <c r="E32" i="21"/>
  <c r="E57" i="21" s="1"/>
  <c r="C75" i="21"/>
  <c r="E75" i="21" s="1"/>
  <c r="D21" i="21"/>
  <c r="C74" i="21"/>
  <c r="K47" i="2"/>
  <c r="K46" i="2"/>
  <c r="S42" i="2"/>
  <c r="S44" i="2"/>
  <c r="K40" i="2"/>
  <c r="S40" i="2"/>
  <c r="S29" i="2"/>
  <c r="K42" i="2"/>
  <c r="K18" i="2"/>
  <c r="K39" i="2"/>
  <c r="S33" i="2"/>
  <c r="S24" i="2"/>
  <c r="K22" i="2"/>
  <c r="K26" i="2"/>
  <c r="S26" i="2"/>
  <c r="K34" i="2"/>
  <c r="S34" i="2"/>
  <c r="K29" i="2"/>
  <c r="K24" i="2"/>
  <c r="K13" i="2"/>
  <c r="K21" i="2"/>
  <c r="S22" i="2"/>
  <c r="S21" i="2"/>
  <c r="S18" i="2"/>
  <c r="S16" i="2"/>
  <c r="K16" i="2"/>
  <c r="S13" i="2"/>
  <c r="K11" i="2"/>
  <c r="C72" i="22" l="1"/>
  <c r="C80" i="22" s="1"/>
  <c r="E74" i="22"/>
  <c r="D80" i="22"/>
  <c r="D87" i="22" s="1"/>
  <c r="E21" i="22"/>
  <c r="E25" i="22" s="1"/>
  <c r="D25" i="22"/>
  <c r="C57" i="22"/>
  <c r="E72" i="22"/>
  <c r="E80" i="22" s="1"/>
  <c r="E57" i="22"/>
  <c r="E60" i="22"/>
  <c r="D25" i="21"/>
  <c r="E21" i="21"/>
  <c r="E25" i="21" s="1"/>
  <c r="E88" i="21"/>
  <c r="E80" i="21"/>
  <c r="E74" i="21"/>
  <c r="C72" i="21"/>
  <c r="C80" i="21" s="1"/>
  <c r="C87" i="21" s="1"/>
  <c r="E72" i="21"/>
  <c r="D80" i="21"/>
  <c r="C57" i="21"/>
  <c r="D87" i="21" l="1"/>
  <c r="E87" i="21"/>
  <c r="AS87" i="21" s="1"/>
  <c r="E66" i="22"/>
  <c r="E87" i="22" s="1"/>
  <c r="E88" i="22"/>
  <c r="C87" i="22"/>
  <c r="A7" i="11" l="1"/>
  <c r="L13" i="10" l="1"/>
  <c r="M13" i="10"/>
  <c r="M12" i="10"/>
  <c r="L12" i="10"/>
  <c r="G7" i="13" l="1"/>
  <c r="G5" i="13"/>
  <c r="A6" i="20"/>
  <c r="A7" i="20" s="1"/>
  <c r="H5" i="20"/>
  <c r="I5" i="20" s="1"/>
  <c r="S17" i="16"/>
  <c r="P7" i="16"/>
  <c r="Q7" i="16"/>
  <c r="AI7" i="16"/>
  <c r="AJ7" i="16"/>
  <c r="AK7" i="16"/>
  <c r="Y7" i="16"/>
  <c r="Z7" i="16"/>
  <c r="AA7" i="16"/>
  <c r="R7" i="16" l="1"/>
  <c r="A9" i="2" l="1"/>
  <c r="A10" i="2" s="1"/>
  <c r="A12" i="2" s="1"/>
  <c r="A15" i="2" s="1"/>
  <c r="A20" i="2" s="1"/>
  <c r="A30" i="2" s="1"/>
  <c r="A32" i="2" s="1"/>
  <c r="A36" i="2" s="1"/>
  <c r="A50" i="2" l="1"/>
  <c r="A52" i="2" s="1"/>
  <c r="A37" i="2"/>
  <c r="A38" i="2" s="1"/>
  <c r="A41" i="2" s="1"/>
  <c r="A43" i="2" s="1"/>
  <c r="G7" i="20" l="1"/>
  <c r="H7" i="20" s="1"/>
  <c r="I7" i="20" s="1"/>
  <c r="G6" i="20"/>
  <c r="H6" i="20" s="1"/>
  <c r="G8" i="13"/>
  <c r="I6" i="20" l="1"/>
  <c r="P14" i="2"/>
  <c r="O14" i="2"/>
  <c r="P12" i="2"/>
  <c r="O12" i="2"/>
  <c r="P10" i="2"/>
  <c r="O10" i="2"/>
  <c r="P9" i="2"/>
  <c r="O9" i="2"/>
  <c r="P8" i="2"/>
  <c r="O8" i="2"/>
  <c r="H10" i="20" l="1"/>
  <c r="I10" i="20" s="1"/>
  <c r="AB12" i="2" l="1"/>
  <c r="AA12" i="2"/>
  <c r="Z12" i="2"/>
  <c r="AB10" i="2"/>
  <c r="AA10" i="2"/>
  <c r="Z10" i="2"/>
  <c r="AB9" i="2"/>
  <c r="AA9" i="2"/>
  <c r="Z9" i="2"/>
  <c r="AB8" i="2"/>
  <c r="AA8" i="2"/>
  <c r="Z8" i="2"/>
  <c r="AB14" i="2"/>
  <c r="AA14" i="2"/>
  <c r="Z14" i="2"/>
  <c r="AC14" i="2" l="1"/>
  <c r="AC9" i="2"/>
  <c r="AC8" i="2"/>
  <c r="AC12" i="2"/>
  <c r="AC10" i="2"/>
  <c r="AK41" i="2"/>
  <c r="AJ36" i="2"/>
  <c r="AK32" i="2"/>
  <c r="AK31" i="2"/>
  <c r="AK23" i="2"/>
  <c r="AK12" i="2"/>
  <c r="AK10" i="2"/>
  <c r="Z51" i="2"/>
  <c r="AA50" i="2"/>
  <c r="AB49" i="2"/>
  <c r="Z48" i="2"/>
  <c r="Z45" i="2"/>
  <c r="AA43" i="2"/>
  <c r="AB41" i="2"/>
  <c r="Z38" i="2"/>
  <c r="AA37" i="2"/>
  <c r="AB36" i="2"/>
  <c r="AA32" i="2"/>
  <c r="Z31" i="2"/>
  <c r="AA30" i="2"/>
  <c r="AA28" i="2"/>
  <c r="Z27" i="2"/>
  <c r="AB25" i="2"/>
  <c r="AB20" i="2"/>
  <c r="Z17" i="2"/>
  <c r="I8" i="2"/>
  <c r="J8" i="2"/>
  <c r="I9" i="2"/>
  <c r="J9" i="2"/>
  <c r="I10" i="2"/>
  <c r="J10" i="2"/>
  <c r="I12" i="2"/>
  <c r="J12" i="2"/>
  <c r="I14" i="2"/>
  <c r="J14" i="2"/>
  <c r="I15" i="2"/>
  <c r="J15" i="2"/>
  <c r="I17" i="2"/>
  <c r="J17" i="2"/>
  <c r="I19" i="2"/>
  <c r="J19" i="2"/>
  <c r="I20" i="2"/>
  <c r="J20" i="2"/>
  <c r="I23" i="2"/>
  <c r="J23" i="2"/>
  <c r="I25" i="2"/>
  <c r="J25" i="2"/>
  <c r="I27" i="2"/>
  <c r="J27" i="2"/>
  <c r="I28" i="2"/>
  <c r="J28" i="2"/>
  <c r="I30" i="2"/>
  <c r="J30" i="2"/>
  <c r="I31" i="2"/>
  <c r="J31" i="2"/>
  <c r="I32" i="2"/>
  <c r="J32" i="2"/>
  <c r="I36" i="2"/>
  <c r="J36" i="2"/>
  <c r="I37" i="2"/>
  <c r="J37" i="2"/>
  <c r="I38" i="2"/>
  <c r="J38" i="2"/>
  <c r="I41" i="2"/>
  <c r="J41" i="2"/>
  <c r="I43" i="2"/>
  <c r="J43" i="2"/>
  <c r="I45" i="2"/>
  <c r="J45" i="2"/>
  <c r="I48" i="2"/>
  <c r="J48" i="2"/>
  <c r="I49" i="2"/>
  <c r="J49" i="2"/>
  <c r="I50" i="2"/>
  <c r="J50" i="2"/>
  <c r="I51" i="2"/>
  <c r="J51" i="2"/>
  <c r="I52" i="2"/>
  <c r="J52" i="2"/>
  <c r="J7" i="2"/>
  <c r="I7" i="2"/>
  <c r="O15" i="2"/>
  <c r="P15" i="2"/>
  <c r="O17" i="2"/>
  <c r="O20" i="2"/>
  <c r="P20" i="2"/>
  <c r="O23" i="2"/>
  <c r="P23" i="2"/>
  <c r="O25" i="2"/>
  <c r="P25" i="2"/>
  <c r="R25" i="2" s="1"/>
  <c r="O27" i="2"/>
  <c r="P27" i="2"/>
  <c r="R27" i="2" s="1"/>
  <c r="O28" i="2"/>
  <c r="P28" i="2"/>
  <c r="R28" i="2" s="1"/>
  <c r="O30" i="2"/>
  <c r="P30" i="2"/>
  <c r="O31" i="2"/>
  <c r="P31" i="2"/>
  <c r="O32" i="2"/>
  <c r="P32" i="2"/>
  <c r="O38" i="2"/>
  <c r="P38" i="2"/>
  <c r="O41" i="2"/>
  <c r="P41" i="2"/>
  <c r="O43" i="2"/>
  <c r="P43" i="2"/>
  <c r="O45" i="2"/>
  <c r="P45" i="2"/>
  <c r="O48" i="2"/>
  <c r="P48" i="2"/>
  <c r="O49" i="2"/>
  <c r="P49" i="2"/>
  <c r="O50" i="2"/>
  <c r="P50" i="2"/>
  <c r="O51" i="2"/>
  <c r="P51" i="2"/>
  <c r="O52" i="2"/>
  <c r="P52" i="2"/>
  <c r="I56" i="2" l="1"/>
  <c r="AB45" i="2"/>
  <c r="AJ23" i="2"/>
  <c r="AB30" i="2"/>
  <c r="AL41" i="2"/>
  <c r="AJ41" i="2"/>
  <c r="Z30" i="2"/>
  <c r="AJ12" i="2"/>
  <c r="AL51" i="2"/>
  <c r="AL32" i="2"/>
  <c r="AB50" i="2"/>
  <c r="AJ32" i="2"/>
  <c r="AJ19" i="2"/>
  <c r="AK19" i="2"/>
  <c r="AB23" i="2"/>
  <c r="AA23" i="2"/>
  <c r="AJ15" i="2"/>
  <c r="AK15" i="2"/>
  <c r="Z23" i="2"/>
  <c r="AJ31" i="2"/>
  <c r="AK51" i="2"/>
  <c r="AJ51" i="2"/>
  <c r="Z52" i="2"/>
  <c r="AA52" i="2"/>
  <c r="K28" i="2"/>
  <c r="AA49" i="2"/>
  <c r="Z49" i="2"/>
  <c r="AB52" i="2"/>
  <c r="AJ50" i="2"/>
  <c r="AK50" i="2"/>
  <c r="Z41" i="2"/>
  <c r="AA41" i="2"/>
  <c r="AL50" i="2"/>
  <c r="AL12" i="2"/>
  <c r="AL20" i="2"/>
  <c r="AL36" i="2"/>
  <c r="AL37" i="2"/>
  <c r="AA48" i="2"/>
  <c r="AK38" i="2"/>
  <c r="AJ38" i="2"/>
  <c r="AA45" i="2"/>
  <c r="AB48" i="2"/>
  <c r="AK25" i="2"/>
  <c r="AJ25" i="2"/>
  <c r="AL49" i="2"/>
  <c r="AJ49" i="2"/>
  <c r="K10" i="2"/>
  <c r="Z20" i="2"/>
  <c r="AA27" i="2"/>
  <c r="AA20" i="2"/>
  <c r="AB27" i="2"/>
  <c r="AK14" i="2"/>
  <c r="AJ14" i="2"/>
  <c r="AL17" i="2"/>
  <c r="AK49" i="2"/>
  <c r="AK9" i="2"/>
  <c r="AJ9" i="2"/>
  <c r="K14" i="2"/>
  <c r="AB28" i="2"/>
  <c r="AJ17" i="2"/>
  <c r="AK17" i="2"/>
  <c r="AL14" i="2"/>
  <c r="AJ27" i="2"/>
  <c r="AK27" i="2"/>
  <c r="AL25" i="2"/>
  <c r="AJ28" i="2"/>
  <c r="AK28" i="2"/>
  <c r="AJ37" i="2"/>
  <c r="AK37" i="2"/>
  <c r="AK43" i="2"/>
  <c r="AJ43" i="2"/>
  <c r="AL27" i="2"/>
  <c r="AK30" i="2"/>
  <c r="AJ30" i="2"/>
  <c r="AL9" i="2"/>
  <c r="AL30" i="2"/>
  <c r="AL45" i="2"/>
  <c r="AK45" i="2"/>
  <c r="AL8" i="2"/>
  <c r="AL23" i="2"/>
  <c r="AL28" i="2"/>
  <c r="AL38" i="2"/>
  <c r="AL10" i="2"/>
  <c r="AJ10" i="2"/>
  <c r="AL19" i="2"/>
  <c r="AJ45" i="2"/>
  <c r="AK48" i="2"/>
  <c r="AJ48" i="2"/>
  <c r="AK52" i="2"/>
  <c r="AJ52" i="2"/>
  <c r="AK8" i="2"/>
  <c r="AJ8" i="2"/>
  <c r="AL15" i="2"/>
  <c r="AK20" i="2"/>
  <c r="AJ20" i="2"/>
  <c r="AL31" i="2"/>
  <c r="AL43" i="2"/>
  <c r="AL48" i="2"/>
  <c r="AL52" i="2"/>
  <c r="AK36" i="2"/>
  <c r="AA15" i="2"/>
  <c r="Z15" i="2"/>
  <c r="AB15" i="2"/>
  <c r="Z32" i="2"/>
  <c r="AA38" i="2"/>
  <c r="AB32" i="2"/>
  <c r="Z37" i="2"/>
  <c r="AB38" i="2"/>
  <c r="Z43" i="2"/>
  <c r="AA51" i="2"/>
  <c r="AB37" i="2"/>
  <c r="AB43" i="2"/>
  <c r="Z50" i="2"/>
  <c r="AB51" i="2"/>
  <c r="AA19" i="2"/>
  <c r="Z19" i="2"/>
  <c r="AA17" i="2"/>
  <c r="AB17" i="2"/>
  <c r="AA25" i="2"/>
  <c r="Z25" i="2"/>
  <c r="AA31" i="2"/>
  <c r="AB31" i="2"/>
  <c r="AB19" i="2"/>
  <c r="AA36" i="2"/>
  <c r="Z36" i="2"/>
  <c r="Z28" i="2"/>
  <c r="K36" i="2"/>
  <c r="K49" i="2"/>
  <c r="K43" i="2"/>
  <c r="K30" i="2"/>
  <c r="K8" i="2"/>
  <c r="K31" i="2"/>
  <c r="K50" i="2"/>
  <c r="K15" i="2"/>
  <c r="K38" i="2"/>
  <c r="K23" i="2"/>
  <c r="K52" i="2"/>
  <c r="K7" i="2"/>
  <c r="K19" i="2"/>
  <c r="K25" i="2"/>
  <c r="K45" i="2"/>
  <c r="K37" i="2"/>
  <c r="K12" i="2"/>
  <c r="K41" i="2"/>
  <c r="K51" i="2"/>
  <c r="K20" i="2"/>
  <c r="K48" i="2"/>
  <c r="K32" i="2"/>
  <c r="K27" i="2"/>
  <c r="K17" i="2"/>
  <c r="K9" i="2"/>
  <c r="AC20" i="2" l="1"/>
  <c r="AM12" i="2"/>
  <c r="AC50" i="2"/>
  <c r="AC41" i="2"/>
  <c r="AM41" i="2"/>
  <c r="AC30" i="2"/>
  <c r="AC49" i="2"/>
  <c r="AM32" i="2"/>
  <c r="AM49" i="2"/>
  <c r="AC31" i="2"/>
  <c r="AC45" i="2"/>
  <c r="AM15" i="2"/>
  <c r="AM23" i="2"/>
  <c r="AM28" i="2"/>
  <c r="AM50" i="2"/>
  <c r="AC23" i="2"/>
  <c r="AM31" i="2"/>
  <c r="AM37" i="2"/>
  <c r="AM36" i="2"/>
  <c r="AM51" i="2"/>
  <c r="AC38" i="2"/>
  <c r="AM43" i="2"/>
  <c r="AM19" i="2"/>
  <c r="AM38" i="2"/>
  <c r="AC48" i="2"/>
  <c r="AC52" i="2"/>
  <c r="AM30" i="2"/>
  <c r="AC27" i="2"/>
  <c r="AM17" i="2"/>
  <c r="AC51" i="2"/>
  <c r="AC28" i="2"/>
  <c r="AC36" i="2"/>
  <c r="AM25" i="2"/>
  <c r="AM14" i="2"/>
  <c r="AC19" i="2"/>
  <c r="AM45" i="2"/>
  <c r="AM9" i="2"/>
  <c r="AM27" i="2"/>
  <c r="AC17" i="2"/>
  <c r="AM10" i="2"/>
  <c r="AM8" i="2"/>
  <c r="AM52" i="2"/>
  <c r="AM20" i="2"/>
  <c r="AM48" i="2"/>
  <c r="AC15" i="2"/>
  <c r="AC43" i="2"/>
  <c r="AC25" i="2"/>
  <c r="AC37" i="2"/>
  <c r="AC32" i="2"/>
  <c r="AE6" i="16" l="1"/>
  <c r="AC6" i="16"/>
  <c r="N14" i="2" l="1"/>
  <c r="Q14" i="2" s="1"/>
  <c r="Q12" i="2"/>
  <c r="L10" i="2"/>
  <c r="Q10" i="2" s="1"/>
  <c r="L9" i="2"/>
  <c r="R9" i="2" s="1"/>
  <c r="R8" i="2"/>
  <c r="AD48" i="2"/>
  <c r="T48" i="2"/>
  <c r="AD17" i="2"/>
  <c r="T17" i="2"/>
  <c r="T15" i="2"/>
  <c r="AD15" i="2"/>
  <c r="AD28" i="2"/>
  <c r="T28" i="2"/>
  <c r="AD50" i="2"/>
  <c r="T50" i="2"/>
  <c r="T23" i="2"/>
  <c r="AD23" i="2"/>
  <c r="AD9" i="2"/>
  <c r="T9" i="2"/>
  <c r="AD52" i="2"/>
  <c r="T52" i="2"/>
  <c r="T49" i="2"/>
  <c r="AD49" i="2"/>
  <c r="L48" i="2"/>
  <c r="N48" i="2" s="1"/>
  <c r="N19" i="2"/>
  <c r="L17" i="2"/>
  <c r="L15" i="2"/>
  <c r="L28" i="2"/>
  <c r="L52" i="2"/>
  <c r="L50" i="2"/>
  <c r="N36" i="2"/>
  <c r="L23" i="2"/>
  <c r="N37" i="2"/>
  <c r="L49" i="2"/>
  <c r="N49" i="2" s="1"/>
  <c r="AJ6" i="16"/>
  <c r="AK6" i="16"/>
  <c r="AI6" i="16"/>
  <c r="Z6" i="16"/>
  <c r="AA6" i="16"/>
  <c r="Y6" i="16"/>
  <c r="O7" i="2"/>
  <c r="P6" i="16"/>
  <c r="P7" i="2"/>
  <c r="Q6" i="16"/>
  <c r="Z7" i="2"/>
  <c r="AA7" i="2"/>
  <c r="AB7" i="2"/>
  <c r="AJ7" i="2"/>
  <c r="AK7" i="2"/>
  <c r="AL7" i="2"/>
  <c r="Q31" i="17"/>
  <c r="D23" i="17"/>
  <c r="D24" i="17" s="1"/>
  <c r="D25" i="17" s="1"/>
  <c r="D26" i="17" s="1"/>
  <c r="C29" i="17"/>
  <c r="D19" i="17"/>
  <c r="D20" i="17" s="1"/>
  <c r="D21" i="17" s="1"/>
  <c r="F18" i="17"/>
  <c r="I21" i="17"/>
  <c r="I22" i="17"/>
  <c r="I23" i="17" s="1"/>
  <c r="I24" i="17" s="1"/>
  <c r="I25" i="17" s="1"/>
  <c r="I26" i="17" s="1"/>
  <c r="I27" i="17" s="1"/>
  <c r="I28" i="17" s="1"/>
  <c r="I29" i="17" s="1"/>
  <c r="I30" i="17"/>
  <c r="H21" i="17"/>
  <c r="H22" i="17"/>
  <c r="H23" i="17"/>
  <c r="H24" i="17" s="1"/>
  <c r="H25" i="17" s="1"/>
  <c r="H26" i="17" s="1"/>
  <c r="H27" i="17" s="1"/>
  <c r="H28" i="17" s="1"/>
  <c r="H29" i="17" s="1"/>
  <c r="H30" i="17" s="1"/>
  <c r="E5" i="17"/>
  <c r="C5" i="17"/>
  <c r="D7" i="11"/>
  <c r="D9" i="13"/>
  <c r="H5" i="13"/>
  <c r="I5" i="13" s="1"/>
  <c r="H8" i="13"/>
  <c r="I8" i="13" s="1"/>
  <c r="H7" i="13"/>
  <c r="I7" i="13" s="1"/>
  <c r="D5" i="17" l="1"/>
  <c r="J20" i="17"/>
  <c r="F5" i="17"/>
  <c r="M20" i="17"/>
  <c r="Q8" i="2"/>
  <c r="S8" i="2" s="1"/>
  <c r="R14" i="2"/>
  <c r="S14" i="2" s="1"/>
  <c r="R10" i="2"/>
  <c r="S10" i="2" s="1"/>
  <c r="R12" i="2"/>
  <c r="S12" i="2" s="1"/>
  <c r="Q9" i="2"/>
  <c r="S9" i="2" s="1"/>
  <c r="R37" i="2"/>
  <c r="Q37" i="2"/>
  <c r="Q23" i="2"/>
  <c r="R23" i="2"/>
  <c r="R50" i="2"/>
  <c r="Q50" i="2"/>
  <c r="Q51" i="2"/>
  <c r="R51" i="2"/>
  <c r="Q43" i="2"/>
  <c r="R43" i="2"/>
  <c r="Q38" i="2"/>
  <c r="R38" i="2"/>
  <c r="Q27" i="2"/>
  <c r="S27" i="2" s="1"/>
  <c r="R17" i="2"/>
  <c r="Q17" i="2"/>
  <c r="R48" i="2"/>
  <c r="Q48" i="2"/>
  <c r="R7" i="2"/>
  <c r="R20" i="2"/>
  <c r="Q20" i="2"/>
  <c r="Q25" i="2"/>
  <c r="S25" i="2" s="1"/>
  <c r="R52" i="2"/>
  <c r="Q52" i="2"/>
  <c r="Q28" i="2"/>
  <c r="S28" i="2" s="1"/>
  <c r="Q31" i="2"/>
  <c r="R31" i="2"/>
  <c r="R45" i="2"/>
  <c r="Q45" i="2"/>
  <c r="Q7" i="2"/>
  <c r="Q19" i="2"/>
  <c r="R19" i="2"/>
  <c r="Q36" i="2"/>
  <c r="R36" i="2"/>
  <c r="R41" i="2"/>
  <c r="Q41" i="2"/>
  <c r="R15" i="2"/>
  <c r="Q15" i="2"/>
  <c r="R49" i="2"/>
  <c r="Q49" i="2"/>
  <c r="Q30" i="2"/>
  <c r="R30" i="2"/>
  <c r="R32" i="2"/>
  <c r="Q32" i="2"/>
  <c r="R6" i="16"/>
  <c r="AI8" i="16"/>
  <c r="E17" i="15" s="1"/>
  <c r="F17" i="15" s="1"/>
  <c r="AK8" i="16"/>
  <c r="AC7" i="2"/>
  <c r="AL56" i="2"/>
  <c r="I8" i="16"/>
  <c r="E7" i="15" s="1"/>
  <c r="F7" i="15" s="1"/>
  <c r="C7" i="11"/>
  <c r="B7" i="11" s="1"/>
  <c r="AA8" i="16"/>
  <c r="E25" i="15" s="1"/>
  <c r="H9" i="13"/>
  <c r="I9" i="13" s="1"/>
  <c r="Y8" i="16"/>
  <c r="AM7" i="2"/>
  <c r="AA56" i="2"/>
  <c r="AJ56" i="2"/>
  <c r="D5" i="15"/>
  <c r="AK56" i="2"/>
  <c r="Z56" i="2"/>
  <c r="J56" i="2"/>
  <c r="AB56" i="2"/>
  <c r="Q8" i="16"/>
  <c r="E13" i="15" s="1"/>
  <c r="H8" i="16"/>
  <c r="E5" i="15" s="1"/>
  <c r="F5" i="15" s="1"/>
  <c r="P8" i="16"/>
  <c r="E11" i="15" s="1"/>
  <c r="Z8" i="16"/>
  <c r="E24" i="15" s="1"/>
  <c r="AJ8" i="16"/>
  <c r="E18" i="15" s="1"/>
  <c r="F18" i="15" s="1"/>
  <c r="E19" i="15" l="1"/>
  <c r="F19" i="15" s="1"/>
  <c r="E22" i="15"/>
  <c r="F22" i="15" s="1"/>
  <c r="E23" i="15"/>
  <c r="E28" i="15"/>
  <c r="F28" i="15" s="1"/>
  <c r="E8" i="15"/>
  <c r="J5" i="13"/>
  <c r="J6" i="13"/>
  <c r="M21" i="17"/>
  <c r="O20" i="17"/>
  <c r="R20" i="17" s="1"/>
  <c r="J21" i="17"/>
  <c r="L20" i="17"/>
  <c r="Q20" i="17" s="1"/>
  <c r="E14" i="15"/>
  <c r="E15" i="15" s="1"/>
  <c r="J7" i="13"/>
  <c r="S48" i="2"/>
  <c r="S30" i="2"/>
  <c r="S17" i="2"/>
  <c r="S51" i="2"/>
  <c r="S37" i="2"/>
  <c r="S41" i="2"/>
  <c r="S50" i="2"/>
  <c r="S45" i="2"/>
  <c r="S52" i="2"/>
  <c r="S32" i="2"/>
  <c r="S49" i="2"/>
  <c r="S15" i="2"/>
  <c r="S38" i="2"/>
  <c r="S31" i="2"/>
  <c r="S7" i="2"/>
  <c r="Q56" i="2"/>
  <c r="S36" i="2"/>
  <c r="R56" i="2"/>
  <c r="D13" i="15" s="1"/>
  <c r="F13" i="15" s="1"/>
  <c r="S20" i="2"/>
  <c r="S23" i="2"/>
  <c r="S19" i="2"/>
  <c r="S43" i="2"/>
  <c r="R8" i="16"/>
  <c r="AL8" i="16"/>
  <c r="AB8" i="16"/>
  <c r="AC56" i="2"/>
  <c r="AM56" i="2"/>
  <c r="K56" i="2"/>
  <c r="D19" i="15"/>
  <c r="J8" i="16"/>
  <c r="D7" i="15"/>
  <c r="D17" i="15"/>
  <c r="D25" i="15"/>
  <c r="F25" i="15" s="1"/>
  <c r="D23" i="15"/>
  <c r="F23" i="15" s="1"/>
  <c r="D18" i="15"/>
  <c r="D24" i="15"/>
  <c r="F24" i="15" s="1"/>
  <c r="F21" i="15" l="1"/>
  <c r="F20" i="15"/>
  <c r="E9" i="15"/>
  <c r="F9" i="15" s="1"/>
  <c r="F8" i="15"/>
  <c r="D11" i="15"/>
  <c r="F11" i="15" s="1"/>
  <c r="S56" i="2"/>
  <c r="D20" i="15"/>
  <c r="D8" i="15"/>
  <c r="D26" i="15"/>
  <c r="F26" i="15" s="1"/>
  <c r="D14" i="15" l="1"/>
  <c r="F14" i="15" s="1"/>
  <c r="D27" i="15"/>
  <c r="F27" i="15" s="1"/>
  <c r="D9" i="15"/>
  <c r="D21" i="15"/>
  <c r="C13" i="10" l="1"/>
  <c r="E13" i="10" s="1"/>
  <c r="D15" i="15"/>
  <c r="F15" i="15" s="1"/>
  <c r="E32" i="15"/>
  <c r="B10" i="10"/>
  <c r="C12" i="10" l="1"/>
  <c r="E12" i="10" s="1"/>
  <c r="E33" i="15"/>
  <c r="E37" i="15" s="1"/>
  <c r="B11" i="10"/>
  <c r="D11" i="10" s="1"/>
  <c r="I13" i="10"/>
  <c r="E7" i="17"/>
  <c r="E36" i="15"/>
  <c r="H10" i="10"/>
  <c r="I12" i="10" l="1"/>
  <c r="E34" i="15"/>
  <c r="E38" i="15"/>
  <c r="H11" i="10"/>
  <c r="J13" i="10" s="1"/>
  <c r="K13" i="10" s="1"/>
  <c r="F12" i="10"/>
  <c r="F13" i="10"/>
  <c r="E6" i="17" s="1"/>
  <c r="N21" i="17" s="1"/>
  <c r="G12" i="10"/>
  <c r="G13" i="10"/>
  <c r="E40" i="15"/>
  <c r="E8" i="17" l="1"/>
  <c r="C7" i="17"/>
  <c r="C6" i="17"/>
  <c r="C8" i="17" s="1"/>
  <c r="J12" i="10"/>
  <c r="K12" i="10" s="1"/>
  <c r="N22" i="17" l="1"/>
  <c r="K22" i="17"/>
  <c r="K23" i="17" s="1"/>
  <c r="K24" i="17" s="1"/>
  <c r="K21" i="17"/>
  <c r="L21" i="17" s="1"/>
  <c r="Q21" i="17" s="1"/>
  <c r="O22" i="17" l="1"/>
  <c r="R22" i="17" s="1"/>
  <c r="O21" i="17"/>
  <c r="R21" i="17" s="1"/>
  <c r="N23" i="17"/>
  <c r="L23" i="17"/>
  <c r="Q23" i="17" s="1"/>
  <c r="L22" i="17"/>
  <c r="Q22" i="17" s="1"/>
  <c r="L24" i="17"/>
  <c r="Q24" i="17" s="1"/>
  <c r="K25" i="17"/>
  <c r="O23" i="17" l="1"/>
  <c r="R23" i="17" s="1"/>
  <c r="N24" i="17"/>
  <c r="K26" i="17"/>
  <c r="L25" i="17"/>
  <c r="Q25" i="17" s="1"/>
  <c r="N25" i="17" l="1"/>
  <c r="O24" i="17"/>
  <c r="R24" i="17" s="1"/>
  <c r="K27" i="17"/>
  <c r="L26" i="17"/>
  <c r="Q26" i="17" s="1"/>
  <c r="N26" i="17" l="1"/>
  <c r="O25" i="17"/>
  <c r="R25" i="17" s="1"/>
  <c r="K28" i="17"/>
  <c r="L27" i="17"/>
  <c r="Q27" i="17" s="1"/>
  <c r="O26" i="17" l="1"/>
  <c r="R26" i="17" s="1"/>
  <c r="N27" i="17"/>
  <c r="L28" i="17"/>
  <c r="Q28" i="17" s="1"/>
  <c r="K29" i="17"/>
  <c r="O27" i="17" l="1"/>
  <c r="R27" i="17" s="1"/>
  <c r="N28" i="17"/>
  <c r="K30" i="17"/>
  <c r="L29" i="17"/>
  <c r="Q29" i="17" s="1"/>
  <c r="O28" i="17" l="1"/>
  <c r="R28" i="17" s="1"/>
  <c r="N29" i="17"/>
  <c r="L30" i="17"/>
  <c r="N30" i="17" l="1"/>
  <c r="O30" i="17" s="1"/>
  <c r="R30" i="17" s="1"/>
  <c r="O29" i="17"/>
  <c r="R29" i="17" s="1"/>
  <c r="L32" i="17"/>
  <c r="N12" i="10" s="1"/>
  <c r="Q30" i="17"/>
  <c r="L33" i="17" s="1"/>
  <c r="C13" i="17" s="1"/>
  <c r="O32" i="17" l="1"/>
  <c r="E12" i="17" s="1"/>
  <c r="O33" i="17"/>
  <c r="C12" i="17"/>
  <c r="O12" i="10"/>
  <c r="N13" i="10" l="1"/>
</calcChain>
</file>

<file path=xl/sharedStrings.xml><?xml version="1.0" encoding="utf-8"?>
<sst xmlns="http://schemas.openxmlformats.org/spreadsheetml/2006/main" count="1383" uniqueCount="444">
  <si>
    <t>Denumire strada</t>
  </si>
  <si>
    <t>unilateral</t>
  </si>
  <si>
    <t>-</t>
  </si>
  <si>
    <t>M5</t>
  </si>
  <si>
    <t>M6</t>
  </si>
  <si>
    <t>Nr. Crt.</t>
  </si>
  <si>
    <t>NR CRT</t>
  </si>
  <si>
    <t>SITUATIE SISTEM EXISTENT</t>
  </si>
  <si>
    <t>TIP APARAT</t>
  </si>
  <si>
    <t>CONSUM MODUL TELEGESTIUNE</t>
  </si>
  <si>
    <t>NUMAR STALPI</t>
  </si>
  <si>
    <t>PIERDERI BALAST
[W]</t>
  </si>
  <si>
    <t>PUTERE UTILA
[W]</t>
  </si>
  <si>
    <t>PUTERE UTILA [W]</t>
  </si>
  <si>
    <t>ENERGIA ELECTRICA CONSUMATA ANUAL 
[kWh]</t>
  </si>
  <si>
    <t>AIL LED</t>
  </si>
  <si>
    <t>ENERGIA ELECTRICA CONSUMATA ANUAL CU DIMMING
[kWh]</t>
  </si>
  <si>
    <t>HPS</t>
  </si>
  <si>
    <t>CANT</t>
  </si>
  <si>
    <t>SITUATIE SISTEM EXISTENT EXTINS IPOTETIC</t>
  </si>
  <si>
    <t>Descriere</t>
  </si>
  <si>
    <t>Energia</t>
  </si>
  <si>
    <t>consu­</t>
  </si>
  <si>
    <t>mată</t>
  </si>
  <si>
    <t>inițial**</t>
  </si>
  <si>
    <t>consumată</t>
  </si>
  <si>
    <t>dupa</t>
  </si>
  <si>
    <t>implemen­</t>
  </si>
  <si>
    <t>tarea</t>
  </si>
  <si>
    <t>măsurii</t>
  </si>
  <si>
    <t>Consum specific iniţial de energie</t>
  </si>
  <si>
    <t>Consum specific final de energie</t>
  </si>
  <si>
    <t>Economii de energie obţinute</t>
  </si>
  <si>
    <t>Emisii de CO2 iniţiale*</t>
  </si>
  <si>
    <t>Valoarea investiţiei</t>
  </si>
  <si>
    <t>VNA***</t>
  </si>
  <si>
    <t>RIR</t>
  </si>
  <si>
    <t>Fără TVA</t>
  </si>
  <si>
    <t>Cu TVA</t>
  </si>
  <si>
    <t>MWh</t>
  </si>
  <si>
    <t>MWh/km</t>
  </si>
  <si>
    <t>%</t>
  </si>
  <si>
    <t>t CO2</t>
  </si>
  <si>
    <t>Mii EUR</t>
  </si>
  <si>
    <t>EUR</t>
  </si>
  <si>
    <t>ani</t>
  </si>
  <si>
    <t>Situaţia actuală a sistemului de iluminat la nivelul zonelor analizate fără implementarea măsurilor (BAU)</t>
  </si>
  <si>
    <t>Situaţia ipotetic extinsa a sistemului de iluminat la nivelul zonelor analizate fără implementarea măsurilor (BAU)</t>
  </si>
  <si>
    <t>Total investiţie pe obiect</t>
  </si>
  <si>
    <t>(fără TVA)</t>
  </si>
  <si>
    <t>Cheltuieli conexe</t>
  </si>
  <si>
    <t>implementării măsurii identificate</t>
  </si>
  <si>
    <t>TOTAL investiţie fără TVA,</t>
  </si>
  <si>
    <t>conform Deviz General</t>
  </si>
  <si>
    <t>TOTAL investiţie cu TVA,</t>
  </si>
  <si>
    <t>buc</t>
  </si>
  <si>
    <t>LED</t>
  </si>
  <si>
    <t>W</t>
  </si>
  <si>
    <t>EUROSTREET</t>
  </si>
  <si>
    <t>Nr</t>
  </si>
  <si>
    <t>Tehnologie</t>
  </si>
  <si>
    <t>Tip AIL</t>
  </si>
  <si>
    <t>Cant</t>
  </si>
  <si>
    <t>MWh/an</t>
  </si>
  <si>
    <t>Putere instalata lampa  / corp</t>
  </si>
  <si>
    <t>Putere instalata corp iluminat</t>
  </si>
  <si>
    <t>Putere instalata totala</t>
  </si>
  <si>
    <t>Energie consumata anual</t>
  </si>
  <si>
    <t>Pondere in energia total consumata</t>
  </si>
  <si>
    <t>TOTAL :</t>
  </si>
  <si>
    <t>Energie utila flux luminos</t>
  </si>
  <si>
    <t>Energie utila sistem telegestiune</t>
  </si>
  <si>
    <t>Pierderi energie in efect electromagnetic</t>
  </si>
  <si>
    <t>Pierderi energie in efect Joule</t>
  </si>
  <si>
    <t>Situatie existenta</t>
  </si>
  <si>
    <t>Situatie ipotetic extinsa</t>
  </si>
  <si>
    <t>Energie consumata din retea</t>
  </si>
  <si>
    <t>Energie produsa in sistem fotovoltaic</t>
  </si>
  <si>
    <t>ENERGIE UTILA FLUX LUMINOS (kWh/an)</t>
  </si>
  <si>
    <t>ENERGIE PIERDERI ELECTROMAGNETICE (kWh/an)</t>
  </si>
  <si>
    <t>ENERGIE UTILA SISTEM TELEGESTIUNE (kWh/an)</t>
  </si>
  <si>
    <t>ENERGIE UTILA FLUX LUMINOS INCLUSIV DIMMING (kWh/an)</t>
  </si>
  <si>
    <t>Consum energie finala - SITUATIE IPOTETIC EXTINSA - TOTAL (kWh / an) :</t>
  </si>
  <si>
    <t>kWh /an</t>
  </si>
  <si>
    <t>Consum energie finala - SITUATIE PROIECTATA - TOTAL (kWh / an) :</t>
  </si>
  <si>
    <t>Scaderea emisiilor CO2 raportat la emisiile initiale % :</t>
  </si>
  <si>
    <t>t CO2 /an</t>
  </si>
  <si>
    <t>Emisii CO2 - SITUATIE PROIECTATA - TOTAL (t CO2 / an) :</t>
  </si>
  <si>
    <t>Emisii CO2 - SITUATIE IPOTETIC EXTINSA - TOTAL (t CO2 / an) :</t>
  </si>
  <si>
    <t>Scaderea consumului anual de energie primara in iluminat :</t>
  </si>
  <si>
    <t>Scaderea anuala estimata a gazelor cu efect de sera (echiv. T CO2) :</t>
  </si>
  <si>
    <t>Situatie proiectata - scenariul 1 - recomandat</t>
  </si>
  <si>
    <t xml:space="preserve">Situatie proiectata - scenariul 2 </t>
  </si>
  <si>
    <t>SITUATIE PROIECTATA - SCENARIUL 1 - RECOMANDAT</t>
  </si>
  <si>
    <t>SITUATIE PROIECTATA - SCENARIUL 2</t>
  </si>
  <si>
    <t xml:space="preserve">Scenariul 1 - RECOMANDAT </t>
  </si>
  <si>
    <t>Scenariul 2</t>
  </si>
  <si>
    <t>Economii de emisii de CO2 obtinute</t>
  </si>
  <si>
    <t>Emisii CO2 după implementarea măsurii*</t>
  </si>
  <si>
    <t>Investitie</t>
  </si>
  <si>
    <t>Economii</t>
  </si>
  <si>
    <t>Scenariul 1</t>
  </si>
  <si>
    <t>Totala</t>
  </si>
  <si>
    <t>Anual</t>
  </si>
  <si>
    <t xml:space="preserve">PSR </t>
  </si>
  <si>
    <t>Durata de realizare</t>
  </si>
  <si>
    <t>Durata ciclului de viata</t>
  </si>
  <si>
    <t>euro</t>
  </si>
  <si>
    <t>Rata de actualizare</t>
  </si>
  <si>
    <t>Anul</t>
  </si>
  <si>
    <t>Factor de actualizare</t>
  </si>
  <si>
    <t>Investitii</t>
  </si>
  <si>
    <t>VNA</t>
  </si>
  <si>
    <t>Euro</t>
  </si>
  <si>
    <t>VNA 1 :</t>
  </si>
  <si>
    <t>VNA 2 :</t>
  </si>
  <si>
    <t>RIR 1 :</t>
  </si>
  <si>
    <t>RIR 2 :</t>
  </si>
  <si>
    <t>kWh/an</t>
  </si>
  <si>
    <t>FGS</t>
  </si>
  <si>
    <t>Situatie</t>
  </si>
  <si>
    <t>Putere instalata corp iluminat cu modul de telegestiune</t>
  </si>
  <si>
    <t>.</t>
  </si>
  <si>
    <t>TOTAL</t>
  </si>
  <si>
    <t>LED 40W</t>
  </si>
  <si>
    <t>Iluminat stradal / Vapori sodiu la înaltă presiune</t>
  </si>
  <si>
    <t>Destinatie / Tehnologie</t>
  </si>
  <si>
    <t>Proiectant,</t>
  </si>
  <si>
    <t>………………</t>
  </si>
  <si>
    <t>……………………………………..</t>
  </si>
  <si>
    <t xml:space="preserve">DEVIZ GENERAL </t>
  </si>
  <si>
    <t>conform H.G. 907/2016, privind cheltuielile necesare realizării obiectivului:</t>
  </si>
  <si>
    <t>EXECUTIE</t>
  </si>
  <si>
    <t>Faza de proiectare: Studiu de fezabilitate</t>
  </si>
  <si>
    <t>ANUL 0</t>
  </si>
  <si>
    <t>ANUL 1</t>
  </si>
  <si>
    <t>ANUL 2</t>
  </si>
  <si>
    <t>Nr. crt.</t>
  </si>
  <si>
    <t>Denumirea capitolelor şi subcapitolelor de cheltuieli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</si>
  <si>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</si>
  <si>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</si>
  <si>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</si>
  <si>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</si>
  <si>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</si>
  <si>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</si>
  <si>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</si>
  <si>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</si>
  <si>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</si>
  <si>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</si>
  <si>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</si>
  <si>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</si>
  <si>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</si>
  <si>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</si>
  <si>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</si>
  <si>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</si>
  <si>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</si>
  <si>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</si>
  <si>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</si>
  <si>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</si>
  <si>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</si>
  <si>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</si>
  <si>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</si>
  <si>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</si>
  <si>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</si>
  <si>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</si>
  <si>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</si>
  <si>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</si>
  <si>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</si>
  <si>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L30</t>
  </si>
  <si>
    <t>L31</t>
  </si>
  <si>
    <t>L32</t>
  </si>
  <si>
    <t>L33</t>
  </si>
  <si>
    <t>L34</t>
  </si>
  <si>
    <t>L35</t>
  </si>
  <si>
    <t>L36</t>
  </si>
  <si>
    <t>Valoare (fără TVA)</t>
  </si>
  <si>
    <t>TVA</t>
  </si>
  <si>
    <t>Valoare (inclusiv TVA)</t>
  </si>
  <si>
    <t>lei</t>
  </si>
  <si>
    <t xml:space="preserve"> lei</t>
  </si>
  <si>
    <t>PARTEA  I-a</t>
  </si>
  <si>
    <t>CAPITOLUL  1</t>
  </si>
  <si>
    <t>Cheltuieli pentru obţinerea şi amenajarea terenului</t>
  </si>
  <si>
    <t>1.1</t>
  </si>
  <si>
    <t>Obţinerea terenului</t>
  </si>
  <si>
    <t>1.2</t>
  </si>
  <si>
    <t>Amenajarea terenului</t>
  </si>
  <si>
    <t>1.3</t>
  </si>
  <si>
    <t>Amenajări pentru protecţia mediului şi aducere la starea iniţială</t>
  </si>
  <si>
    <t>1.4</t>
  </si>
  <si>
    <t>Cheltuieli pentru relocarea/protecția utilităților</t>
  </si>
  <si>
    <t>Total Capitol 1</t>
  </si>
  <si>
    <t>CAPITOLUL  2</t>
  </si>
  <si>
    <t>Cheltuieli pentru asigurarea utilităţilor necesare obiectivului</t>
  </si>
  <si>
    <t>2.1</t>
  </si>
  <si>
    <t>Alimentare energie electrica</t>
  </si>
  <si>
    <t>Total Capitol 2</t>
  </si>
  <si>
    <t>CAPITOLUL  3</t>
  </si>
  <si>
    <t>Cheltuieli pentru proiectare şi asistenţă tehnică</t>
  </si>
  <si>
    <t>3.1</t>
  </si>
  <si>
    <t xml:space="preserve">Studii </t>
  </si>
  <si>
    <t>3.1.1. Studii de teren (topografic și geotehnic)</t>
  </si>
  <si>
    <t>3.1.2. Raport privind impactul asupra mediului</t>
  </si>
  <si>
    <t>3.1.3. Alte studii specifice</t>
  </si>
  <si>
    <t>3.2</t>
  </si>
  <si>
    <t>Documentații suport și taxe pentru obținerea de avize, acorduri și autorizații</t>
  </si>
  <si>
    <t>3.3</t>
  </si>
  <si>
    <t>Expertizare tehnică</t>
  </si>
  <si>
    <t>3.4</t>
  </si>
  <si>
    <t>Certificarea performanței energetice și auditul energetic al clădirilor</t>
  </si>
  <si>
    <t>3.5</t>
  </si>
  <si>
    <t xml:space="preserve">Proiectare </t>
  </si>
  <si>
    <t>3.5.1. Temă de proiectare</t>
  </si>
  <si>
    <t>3.5.2. Studiu de prefezabilitate</t>
  </si>
  <si>
    <t>3.5.3. Studiu de fezabilitate/documentație de avizare a lucrărilor de intervenții și deviz general</t>
  </si>
  <si>
    <t>3.5.4. Documentațiile tehnice necesare în vederea obținerii avizelor/acordurilor/autorizațiilor</t>
  </si>
  <si>
    <t>3.5.5. Verificarea tehnică de calitate a proiectului tehnic și a detaliilor de execuție</t>
  </si>
  <si>
    <t>3.5.6. Proiect tehnic și detalii de execuție</t>
  </si>
  <si>
    <t>3.6</t>
  </si>
  <si>
    <t>Organizarea procedurilor de achiziţie publică</t>
  </si>
  <si>
    <t>3.7</t>
  </si>
  <si>
    <t>Consultanţă</t>
  </si>
  <si>
    <t>3.7.1. Managementul de proiect pentru obiectul de investiții</t>
  </si>
  <si>
    <t>3.7.1.1. Consultanta la elaborarea cererii de finantare</t>
  </si>
  <si>
    <t>3.7.1.2 Managementul de proiect</t>
  </si>
  <si>
    <t>3.7.2. Auditul financiar</t>
  </si>
  <si>
    <t>3.8</t>
  </si>
  <si>
    <t>Asistenţă tehnică</t>
  </si>
  <si>
    <t>3.8.1. Asistență tehnică din partea proiectantului</t>
  </si>
  <si>
    <t>3.8.1.1. Pe perioada de execuție a lucrărilor</t>
  </si>
  <si>
    <t>3.8.1.2. Pentru participarea proiectantului la fazele incluse în programul de control al lucrărilor de execuție, avizat de către Inspectoratul de Stat în Construcții</t>
  </si>
  <si>
    <t>3.8.2. Dirigenție de șantier</t>
  </si>
  <si>
    <t>Total Capitol 3</t>
  </si>
  <si>
    <t>CAPITOLUL  4</t>
  </si>
  <si>
    <t>Cheltuieli pentru investiţia de bază</t>
  </si>
  <si>
    <t>4.1</t>
  </si>
  <si>
    <t>Construcţii şi instalaţii</t>
  </si>
  <si>
    <t>4.2</t>
  </si>
  <si>
    <t>Montaj utilaje, echipamente tehnologice și funcționale</t>
  </si>
  <si>
    <t>4.3</t>
  </si>
  <si>
    <t>Utilaje, echipamente tehnologice şi funcţionale care necesită montaj</t>
  </si>
  <si>
    <t>4.4</t>
  </si>
  <si>
    <t>Utilaje, echipamente tehnologice şi funcţionale care nu necesită montaj şi echipamente de transport</t>
  </si>
  <si>
    <t>4.5</t>
  </si>
  <si>
    <t>Dotări</t>
  </si>
  <si>
    <t>4.6</t>
  </si>
  <si>
    <t>Active necorporale</t>
  </si>
  <si>
    <t>Total Capitol 4</t>
  </si>
  <si>
    <t>CAPITOLUL  5</t>
  </si>
  <si>
    <t>Alte cheltuieli</t>
  </si>
  <si>
    <t>5.1</t>
  </si>
  <si>
    <t>Organizare de şantier</t>
  </si>
  <si>
    <t>5.1.1. Lucrări de construcţii şi instalaţii aferente organizării de şantier</t>
  </si>
  <si>
    <t>5.1.2. Cheltuieli conexe organizării şantierului</t>
  </si>
  <si>
    <t>5.2</t>
  </si>
  <si>
    <t>Comisioane, taxe, cote, costul creditului</t>
  </si>
  <si>
    <t>5.2.1. Comisioanele și dobânzile aferente creditului băncii finanțatoare</t>
  </si>
  <si>
    <t>5.2.2. Cota aferentă ISC pentru controlul calității lucrărilor de construcții</t>
  </si>
  <si>
    <t>5.2.3. Cota aferentă ISC pentru controlul statului în amenajarea teritoriului, urbanism și pentru autorizarea lucrărilor de construcții</t>
  </si>
  <si>
    <t>5.2.4. Cota aferentă Casei Sociale a Constructorilor - CSC</t>
  </si>
  <si>
    <t>5.2.5. Taxe pentru acorduri, avize conforme și autorizația de construire/desființare</t>
  </si>
  <si>
    <t>5.3</t>
  </si>
  <si>
    <t xml:space="preserve">Cheltuieli diverse şi neprevăzute: </t>
  </si>
  <si>
    <t>5.4</t>
  </si>
  <si>
    <t>Cheltuieli pentru informare și publicitate</t>
  </si>
  <si>
    <t>Total Capitol 5</t>
  </si>
  <si>
    <t>CAPITOLUL  6</t>
  </si>
  <si>
    <t>Cheltuieli pentru probe tehnologice şi teste</t>
  </si>
  <si>
    <t>6.1</t>
  </si>
  <si>
    <t>Pregătirea personalului de exploatare</t>
  </si>
  <si>
    <t>6.2</t>
  </si>
  <si>
    <t>Probe tehnologice şi teste</t>
  </si>
  <si>
    <t>Total Capitol 6</t>
  </si>
  <si>
    <t>TOTAL GENERAL</t>
  </si>
  <si>
    <r>
      <t xml:space="preserve">din care: C + M </t>
    </r>
    <r>
      <rPr>
        <sz val="11"/>
        <color theme="1"/>
        <rFont val="Calibri"/>
        <family val="2"/>
        <scheme val="minor"/>
      </rPr>
      <t xml:space="preserve"> (Cap.1.2 + Cap.1.3 + Cap. 1.4 +</t>
    </r>
  </si>
  <si>
    <t>Cap.2 + Cap.4.1 + Cap.4.2 +Cap.5.1.1)</t>
  </si>
  <si>
    <t>Data:</t>
  </si>
  <si>
    <t>Beneficiar</t>
  </si>
  <si>
    <t>Întocmit,</t>
  </si>
  <si>
    <t>adresa</t>
  </si>
  <si>
    <t>J……..</t>
  </si>
  <si>
    <t>Nr. contract ……..</t>
  </si>
  <si>
    <t>SCENARIUL 2 SODIU</t>
  </si>
  <si>
    <t>Iluminat stradal / Vapori mercur la înaltă presiune</t>
  </si>
  <si>
    <t>Iluminat stradal /Fluorescent</t>
  </si>
  <si>
    <t>Campului</t>
  </si>
  <si>
    <t>Tanorkapu</t>
  </si>
  <si>
    <t>Cantonului</t>
  </si>
  <si>
    <t>Principala</t>
  </si>
  <si>
    <t>Cimitirului</t>
  </si>
  <si>
    <t>FLUO</t>
  </si>
  <si>
    <t>HG</t>
  </si>
  <si>
    <t>Peles</t>
  </si>
  <si>
    <t>Bisericii</t>
  </si>
  <si>
    <t>Scolii</t>
  </si>
  <si>
    <t>Mica</t>
  </si>
  <si>
    <t>Dealul Rozelor</t>
  </si>
  <si>
    <t>Salciilor</t>
  </si>
  <si>
    <t>Liliacului</t>
  </si>
  <si>
    <t>Oltului</t>
  </si>
  <si>
    <t>Podului</t>
  </si>
  <si>
    <t>Trandafirilor</t>
  </si>
  <si>
    <t>Szilagyi Samuel</t>
  </si>
  <si>
    <t>Interioara</t>
  </si>
  <si>
    <t>COMUNA CHILIENI</t>
  </si>
  <si>
    <t>COMUNA COSENI</t>
  </si>
  <si>
    <t>Tronson 1</t>
  </si>
  <si>
    <t>Tronson 2</t>
  </si>
  <si>
    <t>Tronson 3</t>
  </si>
  <si>
    <t>Tronsson 11</t>
  </si>
  <si>
    <t>Tronson 4</t>
  </si>
  <si>
    <t>Tronson 5</t>
  </si>
  <si>
    <t>Tronson 6</t>
  </si>
  <si>
    <t>Tronson 7</t>
  </si>
  <si>
    <t>Tronson 8</t>
  </si>
  <si>
    <t>Tronson 9</t>
  </si>
  <si>
    <t>Tronson 10</t>
  </si>
  <si>
    <t>Tronson 11</t>
  </si>
  <si>
    <t>Tronson 12</t>
  </si>
  <si>
    <t>AUDIT ENERGETIC - SITUATIE EXISTENTA - SFANTU GHEORGHE - LOT 4</t>
  </si>
  <si>
    <t xml:space="preserve">AUDIT ENERGETIC - SITUATIE PROIECTATA - SFANTU GHEORGHE - LOT 4 </t>
  </si>
  <si>
    <t>LOT 4</t>
  </si>
  <si>
    <t>LOT 4 - fotovoltaic</t>
  </si>
  <si>
    <t>AUDIT ENERGETIC - SITUATIE PROIECTATA - SFANTU GHEORGHE - LOT 4 - FOTOVOLTAIC</t>
  </si>
  <si>
    <t>AUDIT ENERGETIC - SITUATIE EXISTENTA - SFANTU GHEORGHE - LOT 4 - FOTOVOLTAIC</t>
  </si>
  <si>
    <t>BILANTUL ENERGETIC - MUNICIPIUL SFANTU GHEORGHE - LOT 4</t>
  </si>
  <si>
    <t>Reabilitare/extindere iluminat public din Mun. Sfântu Gheorghe - LOT4 Chilieni si Coseni</t>
  </si>
  <si>
    <t>Municipiul Sfantu Gheorghe</t>
  </si>
  <si>
    <t>În prețuri la data de  iulie 2018 / 1 EURO =</t>
  </si>
  <si>
    <t>LED 30W</t>
  </si>
  <si>
    <t>LED 50W</t>
  </si>
  <si>
    <t>Structura situatii de calcul strazi Municipiul Sfantu Gheorghe - Comuna Chilieni</t>
  </si>
  <si>
    <t>SITUATIE PROIECTATA</t>
  </si>
  <si>
    <t>IPOTEZE DE CALCUL</t>
  </si>
  <si>
    <t>Lungime</t>
  </si>
  <si>
    <t>numar stalpi</t>
  </si>
  <si>
    <t>numar corpuri de iluminat</t>
  </si>
  <si>
    <t>putere CIL ( W)</t>
  </si>
  <si>
    <t>Distanta intre stalpi</t>
  </si>
  <si>
    <t>Latime strada (m)</t>
  </si>
  <si>
    <t>clasa de iluminat strada</t>
  </si>
  <si>
    <t>Numari benzi circulatie</t>
  </si>
  <si>
    <t>tip iluminat</t>
  </si>
  <si>
    <t>retragere stalp fata de strada (m)</t>
  </si>
  <si>
    <t>inaltime stalp (m)</t>
  </si>
  <si>
    <t>suprafata carosabil</t>
  </si>
  <si>
    <t>MF</t>
  </si>
  <si>
    <t>20w</t>
  </si>
  <si>
    <t>28w</t>
  </si>
  <si>
    <t>38.1w</t>
  </si>
  <si>
    <t>Strada Campului</t>
  </si>
  <si>
    <t>CIE R3 , Q0=0.07</t>
  </si>
  <si>
    <t>Strada Tanorkapu</t>
  </si>
  <si>
    <t>Strada Cantonului</t>
  </si>
  <si>
    <t xml:space="preserve">Strada Principala </t>
  </si>
  <si>
    <t xml:space="preserve">Strada Cimitirului </t>
  </si>
  <si>
    <t>Strada Peles</t>
  </si>
  <si>
    <t>Strada Bisericii</t>
  </si>
  <si>
    <t>Strada Scolii</t>
  </si>
  <si>
    <t>Strada Mica</t>
  </si>
  <si>
    <t>Strada Dealul Rozelor</t>
  </si>
  <si>
    <t>Strada Salcamilor</t>
  </si>
  <si>
    <t>Strada Liliacului</t>
  </si>
  <si>
    <t>Strada Oltului</t>
  </si>
  <si>
    <t>Strada Podului</t>
  </si>
  <si>
    <t>Strada Trandafirilor</t>
  </si>
  <si>
    <t>Strada Szilagyi Samuel</t>
  </si>
  <si>
    <t>Strada Interioara</t>
  </si>
  <si>
    <t>Structura situatii de calcul strazi Municipiul Sfantu Gheorghe - Comuna Cosereni</t>
  </si>
  <si>
    <t>putere CIL</t>
  </si>
  <si>
    <t>tronson 2</t>
  </si>
  <si>
    <t>tronson 3</t>
  </si>
  <si>
    <t>tronson 4</t>
  </si>
  <si>
    <t>tronson 5</t>
  </si>
  <si>
    <t>tronson 6</t>
  </si>
  <si>
    <t>tronson 7</t>
  </si>
  <si>
    <t>tronson 8</t>
  </si>
  <si>
    <t>tronson 9</t>
  </si>
  <si>
    <t>tronson 10</t>
  </si>
  <si>
    <t>tronson 11</t>
  </si>
  <si>
    <t>tronson 12</t>
  </si>
  <si>
    <t>cantitate</t>
  </si>
  <si>
    <t>led</t>
  </si>
  <si>
    <t>sodiu</t>
  </si>
  <si>
    <t>ipotetic extins</t>
  </si>
  <si>
    <t>Sisteme iluminat realizate  din stalpi,  corpuri led si panouri fotovoltaice independente de reteaua de alimentare</t>
  </si>
  <si>
    <t>tronsonul 1</t>
  </si>
  <si>
    <t>stradal</t>
  </si>
  <si>
    <t>tronsonul 11</t>
  </si>
  <si>
    <t>ornamental</t>
  </si>
  <si>
    <t>P6</t>
  </si>
  <si>
    <t>ENERGIE TREBUIE MODULE SI FOTOVOLTAIC</t>
  </si>
  <si>
    <t>cantitati de lucrari</t>
  </si>
  <si>
    <t>SISTEME FOTOVOLTAICE ( 20W)</t>
  </si>
  <si>
    <t>STRADAL</t>
  </si>
  <si>
    <t>ORNAMENTAL</t>
  </si>
  <si>
    <t>PUTERI CIL PROIECTATE</t>
  </si>
  <si>
    <t>20W</t>
  </si>
  <si>
    <t>28W</t>
  </si>
  <si>
    <t>38.1W</t>
  </si>
  <si>
    <t xml:space="preserve">NUMAR CIL </t>
  </si>
  <si>
    <t>RETEA LES ACYABY</t>
  </si>
  <si>
    <t>9 KM</t>
  </si>
  <si>
    <t>MODULE TELEGESTIUNE</t>
  </si>
  <si>
    <t>CUTII DE DISTRIBUTIE</t>
  </si>
  <si>
    <t>PUNCTE APRINDERE</t>
  </si>
  <si>
    <t>STALPI 6M</t>
  </si>
  <si>
    <t>AN 1</t>
  </si>
  <si>
    <t>AN 2</t>
  </si>
  <si>
    <t>AN 3</t>
  </si>
  <si>
    <t>AN 4</t>
  </si>
  <si>
    <t>AN 5</t>
  </si>
  <si>
    <t>AN 6</t>
  </si>
  <si>
    <t>AN 7</t>
  </si>
  <si>
    <t>AN 8</t>
  </si>
  <si>
    <t>AN 9</t>
  </si>
  <si>
    <t>AN 10</t>
  </si>
  <si>
    <t>SCENARIUL 1</t>
  </si>
  <si>
    <t>SCENARIUL 2</t>
  </si>
  <si>
    <t>Situatie existenta strazi Municipiul Sfantu Gheorghe - Comuna Chilieni</t>
  </si>
  <si>
    <t>putere CIL existente</t>
  </si>
  <si>
    <t>70W</t>
  </si>
  <si>
    <t>mercur</t>
  </si>
  <si>
    <t>72W</t>
  </si>
  <si>
    <t>fluorscent</t>
  </si>
  <si>
    <t>125W</t>
  </si>
  <si>
    <t>150W</t>
  </si>
  <si>
    <t>Strada Salciilor</t>
  </si>
  <si>
    <t>7 / 5m squar / 7</t>
  </si>
  <si>
    <t>axial</t>
  </si>
  <si>
    <t>2.5 squar</t>
  </si>
  <si>
    <t>Situatie existenta strazi Municipiul Sfantu Gheorghe - Comuna Coseni</t>
  </si>
  <si>
    <t>tronson 1</t>
  </si>
  <si>
    <t>stalpi existenti ce nu apartin de primarie</t>
  </si>
  <si>
    <t>corpuri existente ce nu apartin de primarie</t>
  </si>
  <si>
    <t>Structura situatii de calcul strazi Municipiul Sfantu Gheorghe - Comuna Coseni</t>
  </si>
  <si>
    <t>SCENARIUL 1 - RECOMANDAT</t>
  </si>
  <si>
    <t>LED FOTOVOLTAIC</t>
  </si>
  <si>
    <t>LEI</t>
  </si>
  <si>
    <t>EURO</t>
  </si>
  <si>
    <t>Costurile socio-economice directe şi indirecte legate de faza de construcţie</t>
  </si>
  <si>
    <t>Costurile socio-economice directe şi indirecte legate de faza de operare</t>
  </si>
  <si>
    <t>Anexa 3</t>
  </si>
  <si>
    <t>Anexa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</si>
</sst>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\ _l_e_i_-;\-* #,##0\ _l_e_i_-;_-* &quot;-&quot;\ _l_e_i_-;_-@_-"/>
    <numFmt numFmtId="165" formatCode="_-* #,##0.00\ _l_e_i_-;\-* #,##0.00\ _l_e_i_-;_-* &quot;-&quot;??\ _l_e_i_-;_-@_-"/>
    <numFmt numFmtId="166" formatCode="0.00000"/>
    <numFmt numFmtId="167" formatCode="_(* #,##0.0000_);_(* \(#,##0.0000\);_(* &quot;-&quot;_);_(@_)"/>
    <numFmt numFmtId="168" formatCode="_(* #,##0.00_);_(* \(#,##0.00\);_(* &quot;-&quot;_);_(@_)"/>
    <numFmt numFmtId="169" formatCode="#,##0.0000"/>
    <numFmt numFmtId="170" formatCode="_(* #,##0.0_);_(* \(#,##0.0\);_(* &quot;-&quot;_);_(@_)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  <charset val="238"/>
    </font>
    <font>
      <sz val="10"/>
      <color rgb="FFFF0000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sz val="10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sz val="11"/>
      <name val="Calibri"/>
      <family val="2"/>
      <charset val="238"/>
    </font>
    <font>
      <b/>
      <u/>
      <sz val="10"/>
      <name val="Arial"/>
      <family val="2"/>
    </font>
    <font>
      <sz val="10"/>
      <color theme="1" tint="4.9989318521683403E-2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rgb="FFFF0000"/>
      <name val="Arial"/>
      <family val="2"/>
    </font>
    <font>
      <sz val="8"/>
      <color theme="4"/>
      <name val="Arial"/>
      <family val="2"/>
    </font>
    <font>
      <sz val="8"/>
      <color indexed="10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sz val="10"/>
      <color indexed="8"/>
      <name val="Arial"/>
      <family val="2"/>
      <charset val="238"/>
    </font>
    <font>
      <b/>
      <i/>
      <sz val="10"/>
      <name val="Arial"/>
      <family val="2"/>
    </font>
    <font>
      <sz val="12"/>
      <color theme="1"/>
      <name val="Arial"/>
      <family val="2"/>
      <charset val="238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6" fillId="0" borderId="0"/>
    <xf numFmtId="4" fontId="17" fillId="0" borderId="0"/>
    <xf numFmtId="164" fontId="17" fillId="0" borderId="0" applyFont="0" applyFill="0" applyBorder="0" applyAlignment="0" applyProtection="0"/>
    <xf numFmtId="165" fontId="17" fillId="0" borderId="0" applyFont="0" applyFill="0" applyBorder="0" applyAlignment="0" applyProtection="0"/>
  </cellStyleXfs>
  <cellXfs count="56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0" fontId="5" fillId="4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3" fontId="0" fillId="0" borderId="0" xfId="0" applyNumberFormat="1"/>
    <xf numFmtId="0" fontId="5" fillId="4" borderId="14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top" wrapText="1"/>
    </xf>
    <xf numFmtId="0" fontId="6" fillId="4" borderId="14" xfId="0" applyFont="1" applyFill="1" applyBorder="1" applyAlignment="1">
      <alignment horizontal="center" vertical="center" wrapText="1"/>
    </xf>
    <xf numFmtId="2" fontId="7" fillId="4" borderId="14" xfId="0" applyNumberFormat="1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2" fontId="7" fillId="4" borderId="29" xfId="0" applyNumberFormat="1" applyFont="1" applyFill="1" applyBorder="1" applyAlignment="1">
      <alignment horizontal="center" vertical="center" wrapText="1"/>
    </xf>
    <xf numFmtId="10" fontId="7" fillId="4" borderId="29" xfId="0" applyNumberFormat="1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 vertical="center" wrapText="1"/>
    </xf>
    <xf numFmtId="0" fontId="9" fillId="0" borderId="0" xfId="0" applyFont="1"/>
    <xf numFmtId="3" fontId="9" fillId="0" borderId="1" xfId="0" applyNumberFormat="1" applyFont="1" applyBorder="1"/>
    <xf numFmtId="3" fontId="9" fillId="0" borderId="0" xfId="0" applyNumberFormat="1" applyFont="1"/>
    <xf numFmtId="3" fontId="9" fillId="0" borderId="0" xfId="0" applyNumberFormat="1" applyFont="1" applyAlignment="1">
      <alignment horizontal="center"/>
    </xf>
    <xf numFmtId="10" fontId="9" fillId="0" borderId="0" xfId="0" applyNumberFormat="1" applyFont="1"/>
    <xf numFmtId="10" fontId="0" fillId="0" borderId="0" xfId="0" applyNumberFormat="1"/>
    <xf numFmtId="3" fontId="9" fillId="0" borderId="5" xfId="0" applyNumberFormat="1" applyFont="1" applyBorder="1"/>
    <xf numFmtId="0" fontId="9" fillId="0" borderId="0" xfId="0" applyFont="1" applyAlignment="1">
      <alignment wrapText="1"/>
    </xf>
    <xf numFmtId="3" fontId="9" fillId="0" borderId="6" xfId="0" applyNumberFormat="1" applyFont="1" applyBorder="1" applyAlignment="1">
      <alignment horizontal="center"/>
    </xf>
    <xf numFmtId="3" fontId="9" fillId="0" borderId="8" xfId="0" applyNumberFormat="1" applyFont="1" applyBorder="1" applyAlignment="1">
      <alignment horizontal="center"/>
    </xf>
    <xf numFmtId="3" fontId="10" fillId="0" borderId="18" xfId="0" applyNumberFormat="1" applyFont="1" applyBorder="1"/>
    <xf numFmtId="3" fontId="10" fillId="0" borderId="19" xfId="0" applyNumberFormat="1" applyFont="1" applyBorder="1" applyAlignment="1">
      <alignment horizontal="center"/>
    </xf>
    <xf numFmtId="3" fontId="9" fillId="0" borderId="42" xfId="0" applyNumberFormat="1" applyFont="1" applyBorder="1" applyAlignment="1">
      <alignment horizontal="center"/>
    </xf>
    <xf numFmtId="3" fontId="9" fillId="0" borderId="40" xfId="0" applyNumberFormat="1" applyFont="1" applyBorder="1" applyAlignment="1">
      <alignment horizontal="center"/>
    </xf>
    <xf numFmtId="3" fontId="10" fillId="0" borderId="41" xfId="0" applyNumberFormat="1" applyFont="1" applyBorder="1" applyAlignment="1">
      <alignment horizontal="center"/>
    </xf>
    <xf numFmtId="3" fontId="9" fillId="0" borderId="43" xfId="0" applyNumberFormat="1" applyFont="1" applyBorder="1"/>
    <xf numFmtId="3" fontId="9" fillId="0" borderId="44" xfId="0" applyNumberFormat="1" applyFont="1" applyBorder="1"/>
    <xf numFmtId="3" fontId="10" fillId="0" borderId="45" xfId="0" applyNumberFormat="1" applyFont="1" applyBorder="1"/>
    <xf numFmtId="10" fontId="10" fillId="0" borderId="23" xfId="0" applyNumberFormat="1" applyFont="1" applyBorder="1"/>
    <xf numFmtId="0" fontId="9" fillId="0" borderId="2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3" fontId="9" fillId="0" borderId="38" xfId="0" applyNumberFormat="1" applyFont="1" applyBorder="1" applyAlignment="1">
      <alignment horizontal="center" vertical="center"/>
    </xf>
    <xf numFmtId="3" fontId="9" fillId="0" borderId="39" xfId="0" applyNumberFormat="1" applyFont="1" applyBorder="1" applyAlignment="1">
      <alignment horizontal="center" vertical="center"/>
    </xf>
    <xf numFmtId="3" fontId="9" fillId="0" borderId="36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9" fontId="9" fillId="0" borderId="8" xfId="0" applyNumberFormat="1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wrapText="1"/>
    </xf>
    <xf numFmtId="0" fontId="0" fillId="0" borderId="38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horizontal="center" wrapText="1"/>
    </xf>
    <xf numFmtId="3" fontId="9" fillId="0" borderId="61" xfId="0" applyNumberFormat="1" applyFont="1" applyBorder="1"/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/>
    </xf>
    <xf numFmtId="0" fontId="11" fillId="0" borderId="0" xfId="0" applyFont="1" applyFill="1" applyAlignment="1"/>
    <xf numFmtId="0" fontId="9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3" fontId="0" fillId="0" borderId="0" xfId="0" applyNumberFormat="1" applyFill="1"/>
    <xf numFmtId="0" fontId="8" fillId="0" borderId="0" xfId="0" applyFont="1" applyFill="1" applyBorder="1" applyAlignment="1">
      <alignment horizontal="center" vertical="center" wrapText="1"/>
    </xf>
    <xf numFmtId="3" fontId="0" fillId="5" borderId="1" xfId="0" applyNumberForma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7" fillId="0" borderId="29" xfId="0" applyNumberFormat="1" applyFont="1" applyFill="1" applyBorder="1" applyAlignment="1">
      <alignment horizontal="center" vertical="center" wrapText="1"/>
    </xf>
    <xf numFmtId="3" fontId="7" fillId="0" borderId="29" xfId="0" applyNumberFormat="1" applyFont="1" applyFill="1" applyBorder="1" applyAlignment="1">
      <alignment horizontal="center" vertical="center" wrapText="1"/>
    </xf>
    <xf numFmtId="10" fontId="7" fillId="0" borderId="3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2" borderId="2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/>
    <xf numFmtId="2" fontId="3" fillId="0" borderId="1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0" fontId="3" fillId="0" borderId="56" xfId="0" applyFont="1" applyFill="1" applyBorder="1"/>
    <xf numFmtId="0" fontId="3" fillId="0" borderId="0" xfId="0" applyFont="1" applyFill="1"/>
    <xf numFmtId="0" fontId="3" fillId="0" borderId="51" xfId="0" applyFont="1" applyFill="1" applyBorder="1"/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/>
    <xf numFmtId="0" fontId="3" fillId="0" borderId="18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9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10" fontId="0" fillId="0" borderId="1" xfId="0" applyNumberForma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/>
    </xf>
    <xf numFmtId="0" fontId="0" fillId="0" borderId="17" xfId="0" applyFont="1" applyFill="1" applyBorder="1" applyAlignment="1">
      <alignment horizontal="center" wrapText="1"/>
    </xf>
    <xf numFmtId="0" fontId="0" fillId="0" borderId="18" xfId="0" applyFont="1" applyFill="1" applyBorder="1" applyAlignment="1">
      <alignment horizontal="left" wrapText="1"/>
    </xf>
    <xf numFmtId="0" fontId="0" fillId="0" borderId="18" xfId="0" applyFont="1" applyFill="1" applyBorder="1" applyAlignment="1">
      <alignment horizontal="center" wrapText="1"/>
    </xf>
    <xf numFmtId="3" fontId="9" fillId="0" borderId="31" xfId="0" applyNumberFormat="1" applyFont="1" applyBorder="1"/>
    <xf numFmtId="3" fontId="8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16" fillId="0" borderId="0" xfId="1"/>
    <xf numFmtId="4" fontId="17" fillId="0" borderId="0" xfId="2" applyFont="1" applyAlignment="1">
      <alignment horizontal="left" vertical="center"/>
    </xf>
    <xf numFmtId="0" fontId="18" fillId="3" borderId="0" xfId="1" applyFont="1" applyFill="1"/>
    <xf numFmtId="4" fontId="19" fillId="0" borderId="0" xfId="2" applyFont="1" applyAlignment="1">
      <alignment horizontal="left" vertical="center"/>
    </xf>
    <xf numFmtId="4" fontId="19" fillId="0" borderId="0" xfId="2" applyFont="1" applyAlignment="1">
      <alignment horizontal="center"/>
    </xf>
    <xf numFmtId="4" fontId="20" fillId="0" borderId="0" xfId="2" applyFont="1" applyAlignment="1">
      <alignment horizontal="left" vertical="center"/>
    </xf>
    <xf numFmtId="0" fontId="12" fillId="0" borderId="0" xfId="1" applyFont="1" applyAlignment="1">
      <alignment horizontal="center"/>
    </xf>
    <xf numFmtId="0" fontId="21" fillId="0" borderId="0" xfId="1" applyFont="1" applyAlignment="1">
      <alignment horizontal="left"/>
    </xf>
    <xf numFmtId="0" fontId="17" fillId="0" borderId="0" xfId="1" applyFont="1"/>
    <xf numFmtId="0" fontId="22" fillId="3" borderId="0" xfId="1" applyFont="1" applyFill="1"/>
    <xf numFmtId="0" fontId="12" fillId="0" borderId="0" xfId="1" applyFont="1" applyAlignment="1">
      <alignment horizontal="centerContinuous" wrapText="1"/>
    </xf>
    <xf numFmtId="0" fontId="12" fillId="0" borderId="0" xfId="1" applyFont="1" applyAlignment="1">
      <alignment horizontal="centerContinuous"/>
    </xf>
    <xf numFmtId="0" fontId="23" fillId="0" borderId="0" xfId="1" applyFont="1" applyAlignment="1">
      <alignment horizontal="centerContinuous" wrapText="1"/>
    </xf>
    <xf numFmtId="0" fontId="20" fillId="0" borderId="0" xfId="1" applyFont="1"/>
    <xf numFmtId="17" fontId="0" fillId="0" borderId="0" xfId="0" applyNumberFormat="1" applyAlignment="1">
      <alignment horizontal="center"/>
    </xf>
    <xf numFmtId="17" fontId="26" fillId="3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7" fillId="3" borderId="1" xfId="0" applyFont="1" applyFill="1" applyBorder="1" applyAlignment="1">
      <alignment horizontal="center"/>
    </xf>
    <xf numFmtId="0" fontId="23" fillId="0" borderId="67" xfId="1" applyFont="1" applyBorder="1" applyAlignment="1">
      <alignment horizontal="center"/>
    </xf>
    <xf numFmtId="3" fontId="17" fillId="0" borderId="0" xfId="1" applyNumberFormat="1" applyFont="1"/>
    <xf numFmtId="3" fontId="22" fillId="3" borderId="0" xfId="1" applyNumberFormat="1" applyFont="1" applyFill="1"/>
    <xf numFmtId="3" fontId="17" fillId="0" borderId="65" xfId="1" applyNumberFormat="1" applyFont="1" applyBorder="1" applyAlignment="1">
      <alignment horizontal="center"/>
    </xf>
    <xf numFmtId="3" fontId="17" fillId="0" borderId="66" xfId="1" applyNumberFormat="1" applyFont="1" applyBorder="1" applyAlignment="1">
      <alignment horizontal="center"/>
    </xf>
    <xf numFmtId="0" fontId="29" fillId="0" borderId="26" xfId="1" applyFont="1" applyBorder="1" applyAlignment="1">
      <alignment horizontal="centerContinuous"/>
    </xf>
    <xf numFmtId="0" fontId="29" fillId="0" borderId="0" xfId="1" applyFont="1" applyBorder="1" applyAlignment="1">
      <alignment horizontal="centerContinuous"/>
    </xf>
    <xf numFmtId="0" fontId="23" fillId="0" borderId="26" xfId="1" applyFont="1" applyBorder="1" applyAlignment="1">
      <alignment horizontal="centerContinuous"/>
    </xf>
    <xf numFmtId="0" fontId="23" fillId="0" borderId="0" xfId="1" applyFont="1" applyBorder="1" applyAlignment="1">
      <alignment horizontal="centerContinuous"/>
    </xf>
    <xf numFmtId="49" fontId="17" fillId="0" borderId="4" xfId="1" applyNumberFormat="1" applyFont="1" applyBorder="1" applyAlignment="1">
      <alignment horizontal="center"/>
    </xf>
    <xf numFmtId="0" fontId="17" fillId="0" borderId="5" xfId="1" applyFont="1" applyBorder="1"/>
    <xf numFmtId="3" fontId="17" fillId="0" borderId="5" xfId="3" applyNumberFormat="1" applyFont="1" applyBorder="1" applyAlignment="1">
      <alignment horizontal="center" vertical="center"/>
    </xf>
    <xf numFmtId="3" fontId="17" fillId="0" borderId="5" xfId="3" applyNumberFormat="1" applyFont="1" applyBorder="1" applyAlignment="1">
      <alignment horizontal="center"/>
    </xf>
    <xf numFmtId="0" fontId="17" fillId="0" borderId="1" xfId="1" applyFont="1" applyBorder="1"/>
    <xf numFmtId="0" fontId="22" fillId="3" borderId="1" xfId="1" applyFont="1" applyFill="1" applyBorder="1"/>
    <xf numFmtId="166" fontId="17" fillId="0" borderId="0" xfId="1" applyNumberFormat="1" applyFont="1"/>
    <xf numFmtId="49" fontId="17" fillId="0" borderId="7" xfId="1" applyNumberFormat="1" applyFont="1" applyBorder="1" applyAlignment="1">
      <alignment horizontal="center"/>
    </xf>
    <xf numFmtId="3" fontId="17" fillId="0" borderId="1" xfId="3" applyNumberFormat="1" applyFont="1" applyBorder="1" applyAlignment="1">
      <alignment horizontal="center" vertical="center"/>
    </xf>
    <xf numFmtId="3" fontId="17" fillId="0" borderId="1" xfId="3" applyNumberFormat="1" applyFont="1" applyBorder="1" applyAlignment="1">
      <alignment horizontal="center"/>
    </xf>
    <xf numFmtId="0" fontId="30" fillId="3" borderId="1" xfId="1" applyFont="1" applyFill="1" applyBorder="1"/>
    <xf numFmtId="49" fontId="17" fillId="0" borderId="7" xfId="1" applyNumberFormat="1" applyFont="1" applyBorder="1" applyAlignment="1">
      <alignment horizontal="center" vertical="center"/>
    </xf>
    <xf numFmtId="0" fontId="17" fillId="0" borderId="1" xfId="1" applyFont="1" applyBorder="1" applyAlignment="1">
      <alignment horizontal="left" vertical="center" wrapText="1"/>
    </xf>
    <xf numFmtId="3" fontId="17" fillId="0" borderId="1" xfId="1" applyNumberFormat="1" applyFont="1" applyBorder="1" applyAlignment="1">
      <alignment horizontal="center" vertical="center"/>
    </xf>
    <xf numFmtId="164" fontId="31" fillId="0" borderId="0" xfId="3" applyFont="1"/>
    <xf numFmtId="4" fontId="17" fillId="0" borderId="1" xfId="2" applyFont="1" applyBorder="1" applyAlignment="1" applyProtection="1">
      <alignment horizontal="left" vertical="center" wrapText="1"/>
    </xf>
    <xf numFmtId="0" fontId="17" fillId="0" borderId="17" xfId="1" applyFont="1" applyBorder="1"/>
    <xf numFmtId="0" fontId="23" fillId="7" borderId="18" xfId="1" applyFont="1" applyFill="1" applyBorder="1" applyAlignment="1">
      <alignment horizontal="center"/>
    </xf>
    <xf numFmtId="3" fontId="23" fillId="7" borderId="18" xfId="3" applyNumberFormat="1" applyFont="1" applyFill="1" applyBorder="1" applyAlignment="1">
      <alignment horizontal="center"/>
    </xf>
    <xf numFmtId="3" fontId="23" fillId="0" borderId="0" xfId="1" applyNumberFormat="1" applyFont="1" applyBorder="1" applyAlignment="1">
      <alignment horizontal="centerContinuous"/>
    </xf>
    <xf numFmtId="0" fontId="17" fillId="0" borderId="5" xfId="1" applyFont="1" applyBorder="1" applyAlignment="1">
      <alignment horizontal="left"/>
    </xf>
    <xf numFmtId="3" fontId="17" fillId="0" borderId="5" xfId="1" applyNumberFormat="1" applyFont="1" applyBorder="1" applyAlignment="1">
      <alignment horizontal="center"/>
    </xf>
    <xf numFmtId="3" fontId="17" fillId="0" borderId="5" xfId="3" applyNumberFormat="1" applyFont="1" applyFill="1" applyBorder="1" applyAlignment="1">
      <alignment horizontal="center"/>
    </xf>
    <xf numFmtId="49" fontId="23" fillId="0" borderId="17" xfId="1" applyNumberFormat="1" applyFont="1" applyBorder="1"/>
    <xf numFmtId="164" fontId="32" fillId="0" borderId="0" xfId="3" applyFont="1"/>
    <xf numFmtId="0" fontId="32" fillId="0" borderId="0" xfId="1" applyFont="1"/>
    <xf numFmtId="0" fontId="32" fillId="0" borderId="1" xfId="1" applyFont="1" applyBorder="1"/>
    <xf numFmtId="49" fontId="23" fillId="0" borderId="4" xfId="1" applyNumberFormat="1" applyFont="1" applyBorder="1" applyAlignment="1">
      <alignment horizontal="center"/>
    </xf>
    <xf numFmtId="0" fontId="23" fillId="0" borderId="5" xfId="1" applyFont="1" applyBorder="1"/>
    <xf numFmtId="3" fontId="23" fillId="0" borderId="5" xfId="3" applyNumberFormat="1" applyFont="1" applyBorder="1" applyAlignment="1">
      <alignment horizontal="center"/>
    </xf>
    <xf numFmtId="3" fontId="23" fillId="0" borderId="53" xfId="3" applyNumberFormat="1" applyFont="1" applyBorder="1" applyAlignment="1">
      <alignment horizontal="center"/>
    </xf>
    <xf numFmtId="3" fontId="23" fillId="0" borderId="53" xfId="1" applyNumberFormat="1" applyFont="1" applyBorder="1" applyAlignment="1">
      <alignment horizontal="center"/>
    </xf>
    <xf numFmtId="49" fontId="23" fillId="0" borderId="38" xfId="1" applyNumberFormat="1" applyFont="1" applyBorder="1" applyAlignment="1">
      <alignment horizontal="center"/>
    </xf>
    <xf numFmtId="49" fontId="16" fillId="0" borderId="9" xfId="2" applyNumberFormat="1" applyFont="1" applyBorder="1" applyProtection="1"/>
    <xf numFmtId="3" fontId="17" fillId="0" borderId="9" xfId="3" applyNumberFormat="1" applyFont="1" applyBorder="1" applyAlignment="1">
      <alignment horizontal="center"/>
    </xf>
    <xf numFmtId="3" fontId="17" fillId="0" borderId="1" xfId="1" applyNumberFormat="1" applyFont="1" applyBorder="1" applyAlignment="1">
      <alignment horizontal="center"/>
    </xf>
    <xf numFmtId="49" fontId="16" fillId="0" borderId="9" xfId="2" applyNumberFormat="1" applyFont="1" applyBorder="1" applyAlignment="1" applyProtection="1">
      <alignment vertical="center"/>
    </xf>
    <xf numFmtId="49" fontId="23" fillId="0" borderId="7" xfId="1" applyNumberFormat="1" applyFont="1" applyBorder="1" applyAlignment="1">
      <alignment horizontal="center" vertical="center"/>
    </xf>
    <xf numFmtId="0" fontId="23" fillId="0" borderId="1" xfId="1" applyFont="1" applyBorder="1" applyAlignment="1">
      <alignment vertical="center" wrapText="1"/>
    </xf>
    <xf numFmtId="3" fontId="23" fillId="0" borderId="1" xfId="3" applyNumberFormat="1" applyFont="1" applyBorder="1" applyAlignment="1">
      <alignment horizontal="center" vertical="center"/>
    </xf>
    <xf numFmtId="3" fontId="23" fillId="0" borderId="1" xfId="1" applyNumberFormat="1" applyFont="1" applyBorder="1" applyAlignment="1">
      <alignment horizontal="center" vertical="center"/>
    </xf>
    <xf numFmtId="49" fontId="23" fillId="0" borderId="7" xfId="2" applyNumberFormat="1" applyFont="1" applyBorder="1" applyAlignment="1" applyProtection="1">
      <alignment horizontal="center" vertical="center"/>
    </xf>
    <xf numFmtId="4" fontId="23" fillId="0" borderId="1" xfId="2" applyFont="1" applyBorder="1" applyAlignment="1" applyProtection="1">
      <alignment vertical="center"/>
    </xf>
    <xf numFmtId="164" fontId="17" fillId="0" borderId="0" xfId="3" applyFont="1"/>
    <xf numFmtId="4" fontId="23" fillId="0" borderId="1" xfId="2" applyFont="1" applyBorder="1" applyAlignment="1" applyProtection="1">
      <alignment vertical="center" wrapText="1"/>
    </xf>
    <xf numFmtId="3" fontId="33" fillId="0" borderId="1" xfId="3" applyNumberFormat="1" applyFont="1" applyBorder="1" applyAlignment="1">
      <alignment horizontal="center" vertical="center"/>
    </xf>
    <xf numFmtId="49" fontId="23" fillId="0" borderId="7" xfId="1" applyNumberFormat="1" applyFont="1" applyBorder="1" applyAlignment="1">
      <alignment horizontal="center"/>
    </xf>
    <xf numFmtId="0" fontId="23" fillId="0" borderId="1" xfId="1" applyFont="1" applyBorder="1"/>
    <xf numFmtId="3" fontId="23" fillId="0" borderId="1" xfId="3" applyNumberFormat="1" applyFont="1" applyBorder="1" applyAlignment="1">
      <alignment horizontal="center"/>
    </xf>
    <xf numFmtId="3" fontId="23" fillId="0" borderId="1" xfId="1" applyNumberFormat="1" applyFont="1" applyBorder="1" applyAlignment="1">
      <alignment horizontal="center"/>
    </xf>
    <xf numFmtId="4" fontId="16" fillId="0" borderId="1" xfId="2" applyFont="1" applyBorder="1" applyProtection="1"/>
    <xf numFmtId="4" fontId="17" fillId="0" borderId="1" xfId="2" applyFont="1" applyBorder="1" applyAlignment="1" applyProtection="1">
      <alignment horizontal="left" vertical="center"/>
    </xf>
    <xf numFmtId="4" fontId="16" fillId="0" borderId="1" xfId="2" applyFont="1" applyBorder="1" applyAlignment="1" applyProtection="1">
      <alignment vertical="center" wrapText="1"/>
    </xf>
    <xf numFmtId="165" fontId="31" fillId="0" borderId="0" xfId="3" applyNumberFormat="1" applyFont="1"/>
    <xf numFmtId="0" fontId="30" fillId="0" borderId="1" xfId="1" applyFont="1" applyBorder="1"/>
    <xf numFmtId="49" fontId="23" fillId="0" borderId="57" xfId="1" applyNumberFormat="1" applyFont="1" applyBorder="1" applyAlignment="1">
      <alignment horizontal="center"/>
    </xf>
    <xf numFmtId="4" fontId="16" fillId="0" borderId="13" xfId="2" applyFont="1" applyBorder="1" applyAlignment="1" applyProtection="1">
      <alignment vertical="center"/>
    </xf>
    <xf numFmtId="3" fontId="17" fillId="0" borderId="13" xfId="3" applyNumberFormat="1" applyFont="1" applyBorder="1" applyAlignment="1">
      <alignment horizontal="center"/>
    </xf>
    <xf numFmtId="4" fontId="16" fillId="0" borderId="13" xfId="2" applyFont="1" applyBorder="1" applyAlignment="1" applyProtection="1">
      <alignment horizontal="left" vertical="center"/>
    </xf>
    <xf numFmtId="3" fontId="17" fillId="0" borderId="13" xfId="3" applyNumberFormat="1" applyFont="1" applyBorder="1" applyAlignment="1">
      <alignment horizontal="center" vertical="center"/>
    </xf>
    <xf numFmtId="4" fontId="16" fillId="0" borderId="13" xfId="2" applyFont="1" applyBorder="1" applyAlignment="1" applyProtection="1">
      <alignment horizontal="left" vertical="center" wrapText="1"/>
    </xf>
    <xf numFmtId="167" fontId="31" fillId="0" borderId="0" xfId="3" applyNumberFormat="1" applyFont="1"/>
    <xf numFmtId="0" fontId="23" fillId="0" borderId="17" xfId="1" applyFont="1" applyBorder="1"/>
    <xf numFmtId="3" fontId="17" fillId="0" borderId="53" xfId="3" applyNumberFormat="1" applyFont="1" applyFill="1" applyBorder="1" applyAlignment="1">
      <alignment horizontal="center"/>
    </xf>
    <xf numFmtId="1" fontId="17" fillId="0" borderId="1" xfId="1" applyNumberFormat="1" applyFont="1" applyBorder="1"/>
    <xf numFmtId="3" fontId="17" fillId="0" borderId="1" xfId="3" applyNumberFormat="1" applyFont="1" applyFill="1" applyBorder="1" applyAlignment="1">
      <alignment horizontal="center"/>
    </xf>
    <xf numFmtId="167" fontId="17" fillId="0" borderId="0" xfId="3" applyNumberFormat="1" applyFont="1"/>
    <xf numFmtId="3" fontId="17" fillId="0" borderId="1" xfId="4" applyNumberFormat="1" applyFont="1" applyBorder="1" applyAlignment="1">
      <alignment horizontal="center" vertical="center"/>
    </xf>
    <xf numFmtId="0" fontId="17" fillId="0" borderId="1" xfId="1" applyFont="1" applyFill="1" applyBorder="1" applyAlignment="1">
      <alignment wrapText="1"/>
    </xf>
    <xf numFmtId="3" fontId="17" fillId="0" borderId="1" xfId="4" applyNumberFormat="1" applyFont="1" applyBorder="1" applyAlignment="1">
      <alignment horizontal="center"/>
    </xf>
    <xf numFmtId="49" fontId="17" fillId="0" borderId="7" xfId="1" applyNumberFormat="1" applyFont="1" applyFill="1" applyBorder="1" applyAlignment="1">
      <alignment horizontal="center"/>
    </xf>
    <xf numFmtId="0" fontId="17" fillId="0" borderId="1" xfId="1" applyFont="1" applyFill="1" applyBorder="1"/>
    <xf numFmtId="49" fontId="17" fillId="0" borderId="57" xfId="1" applyNumberFormat="1" applyFont="1" applyFill="1" applyBorder="1" applyAlignment="1">
      <alignment horizontal="center"/>
    </xf>
    <xf numFmtId="0" fontId="17" fillId="0" borderId="13" xfId="1" applyFont="1" applyFill="1" applyBorder="1"/>
    <xf numFmtId="3" fontId="17" fillId="0" borderId="13" xfId="4" applyNumberFormat="1" applyFont="1" applyBorder="1" applyAlignment="1">
      <alignment horizontal="center"/>
    </xf>
    <xf numFmtId="3" fontId="17" fillId="0" borderId="9" xfId="3" applyNumberFormat="1" applyFont="1" applyFill="1" applyBorder="1" applyAlignment="1">
      <alignment horizontal="center"/>
    </xf>
    <xf numFmtId="3" fontId="17" fillId="0" borderId="37" xfId="3" applyNumberFormat="1" applyFont="1" applyFill="1" applyBorder="1" applyAlignment="1">
      <alignment horizontal="center"/>
    </xf>
    <xf numFmtId="164" fontId="16" fillId="0" borderId="0" xfId="3" applyFont="1"/>
    <xf numFmtId="3" fontId="23" fillId="0" borderId="5" xfId="3" applyNumberFormat="1" applyFont="1" applyFill="1" applyBorder="1" applyAlignment="1">
      <alignment horizontal="center"/>
    </xf>
    <xf numFmtId="0" fontId="17" fillId="0" borderId="1" xfId="1" applyFont="1" applyBorder="1" applyAlignment="1">
      <alignment horizontal="left" wrapText="1"/>
    </xf>
    <xf numFmtId="0" fontId="23" fillId="0" borderId="1" xfId="1" applyFont="1" applyFill="1" applyBorder="1" applyAlignment="1">
      <alignment vertical="center" wrapText="1"/>
    </xf>
    <xf numFmtId="49" fontId="17" fillId="0" borderId="7" xfId="1" applyNumberFormat="1" applyFont="1" applyBorder="1" applyAlignment="1">
      <alignment horizontal="left" vertical="center" wrapText="1"/>
    </xf>
    <xf numFmtId="4" fontId="16" fillId="0" borderId="1" xfId="2" applyFont="1" applyFill="1" applyBorder="1" applyAlignment="1" applyProtection="1">
      <alignment vertical="center" wrapText="1"/>
    </xf>
    <xf numFmtId="3" fontId="17" fillId="0" borderId="1" xfId="3" applyNumberFormat="1" applyFont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left" vertical="justify" wrapText="1"/>
    </xf>
    <xf numFmtId="49" fontId="33" fillId="0" borderId="57" xfId="2" applyNumberFormat="1" applyFont="1" applyBorder="1" applyAlignment="1" applyProtection="1">
      <alignment horizontal="center" vertical="center"/>
    </xf>
    <xf numFmtId="4" fontId="33" fillId="0" borderId="13" xfId="2" applyFont="1" applyFill="1" applyBorder="1" applyAlignment="1" applyProtection="1">
      <alignment horizontal="left" vertical="center" wrapText="1"/>
    </xf>
    <xf numFmtId="3" fontId="23" fillId="0" borderId="13" xfId="3" applyNumberFormat="1" applyFont="1" applyBorder="1" applyAlignment="1">
      <alignment horizontal="center"/>
    </xf>
    <xf numFmtId="0" fontId="17" fillId="0" borderId="0" xfId="1" applyFont="1" applyBorder="1"/>
    <xf numFmtId="0" fontId="23" fillId="0" borderId="26" xfId="1" applyFont="1" applyBorder="1" applyAlignment="1">
      <alignment horizontal="center"/>
    </xf>
    <xf numFmtId="3" fontId="23" fillId="0" borderId="0" xfId="1" applyNumberFormat="1" applyFont="1" applyBorder="1" applyAlignment="1">
      <alignment horizontal="center"/>
    </xf>
    <xf numFmtId="0" fontId="17" fillId="0" borderId="17" xfId="1" applyFont="1" applyBorder="1" applyAlignment="1">
      <alignment horizontal="center"/>
    </xf>
    <xf numFmtId="0" fontId="23" fillId="0" borderId="20" xfId="1" applyFont="1" applyBorder="1" applyAlignment="1">
      <alignment horizontal="center"/>
    </xf>
    <xf numFmtId="3" fontId="23" fillId="0" borderId="18" xfId="3" applyNumberFormat="1" applyFont="1" applyBorder="1" applyAlignment="1">
      <alignment horizontal="center"/>
    </xf>
    <xf numFmtId="0" fontId="34" fillId="0" borderId="38" xfId="1" applyFont="1" applyBorder="1" applyAlignment="1">
      <alignment horizontal="center"/>
    </xf>
    <xf numFmtId="0" fontId="35" fillId="0" borderId="36" xfId="1" applyFont="1" applyBorder="1" applyAlignment="1">
      <alignment horizontal="center"/>
    </xf>
    <xf numFmtId="166" fontId="23" fillId="0" borderId="9" xfId="3" applyNumberFormat="1" applyFont="1" applyBorder="1"/>
    <xf numFmtId="0" fontId="17" fillId="0" borderId="13" xfId="1" applyFont="1" applyBorder="1"/>
    <xf numFmtId="2" fontId="17" fillId="0" borderId="7" xfId="1" applyNumberFormat="1" applyFont="1" applyBorder="1" applyAlignment="1">
      <alignment horizontal="center"/>
    </xf>
    <xf numFmtId="2" fontId="23" fillId="0" borderId="1" xfId="1" applyNumberFormat="1" applyFont="1" applyBorder="1" applyAlignment="1">
      <alignment horizontal="center"/>
    </xf>
    <xf numFmtId="2" fontId="17" fillId="0" borderId="57" xfId="1" applyNumberFormat="1" applyFont="1" applyBorder="1" applyAlignment="1">
      <alignment horizontal="center"/>
    </xf>
    <xf numFmtId="2" fontId="23" fillId="0" borderId="13" xfId="1" applyNumberFormat="1" applyFont="1" applyBorder="1"/>
    <xf numFmtId="3" fontId="23" fillId="0" borderId="13" xfId="3" applyNumberFormat="1" applyFont="1" applyFill="1" applyBorder="1" applyAlignment="1">
      <alignment horizontal="center"/>
    </xf>
    <xf numFmtId="0" fontId="17" fillId="0" borderId="64" xfId="1" applyFont="1" applyBorder="1" applyAlignment="1">
      <alignment horizontal="center"/>
    </xf>
    <xf numFmtId="0" fontId="17" fillId="0" borderId="25" xfId="1" applyFont="1" applyBorder="1"/>
    <xf numFmtId="4" fontId="34" fillId="0" borderId="25" xfId="3" applyNumberFormat="1" applyFont="1" applyBorder="1" applyAlignment="1">
      <alignment horizontal="center"/>
    </xf>
    <xf numFmtId="0" fontId="36" fillId="0" borderId="0" xfId="1" applyFont="1" applyBorder="1" applyAlignment="1">
      <alignment horizontal="centerContinuous"/>
    </xf>
    <xf numFmtId="0" fontId="37" fillId="0" borderId="0" xfId="1" applyFont="1" applyBorder="1" applyAlignment="1"/>
    <xf numFmtId="168" fontId="38" fillId="0" borderId="0" xfId="3" applyNumberFormat="1" applyFont="1"/>
    <xf numFmtId="0" fontId="39" fillId="0" borderId="0" xfId="1" applyFont="1"/>
    <xf numFmtId="169" fontId="40" fillId="0" borderId="0" xfId="1" applyNumberFormat="1" applyFont="1" applyAlignment="1">
      <alignment horizontal="center"/>
    </xf>
    <xf numFmtId="0" fontId="35" fillId="0" borderId="0" xfId="1" applyFont="1" applyBorder="1" applyAlignment="1">
      <alignment horizontal="centerContinuous"/>
    </xf>
    <xf numFmtId="0" fontId="41" fillId="0" borderId="0" xfId="1" applyFont="1" applyBorder="1" applyAlignment="1"/>
    <xf numFmtId="0" fontId="39" fillId="0" borderId="0" xfId="1" applyFont="1" applyBorder="1"/>
    <xf numFmtId="4" fontId="42" fillId="0" borderId="0" xfId="2" applyFont="1" applyBorder="1" applyAlignment="1">
      <alignment horizontal="centerContinuous"/>
    </xf>
    <xf numFmtId="0" fontId="36" fillId="0" borderId="0" xfId="1" applyFont="1" applyAlignment="1">
      <alignment horizontal="left"/>
    </xf>
    <xf numFmtId="0" fontId="35" fillId="0" borderId="0" xfId="1" applyFont="1" applyAlignment="1">
      <alignment horizontal="left"/>
    </xf>
    <xf numFmtId="164" fontId="36" fillId="0" borderId="0" xfId="3" applyFont="1"/>
    <xf numFmtId="4" fontId="16" fillId="0" borderId="0" xfId="2" applyFont="1" applyAlignment="1">
      <alignment horizontal="center"/>
    </xf>
    <xf numFmtId="0" fontId="19" fillId="0" borderId="0" xfId="1" applyFont="1" applyAlignment="1">
      <alignment horizontal="center"/>
    </xf>
    <xf numFmtId="0" fontId="35" fillId="0" borderId="0" xfId="1" applyFont="1"/>
    <xf numFmtId="170" fontId="36" fillId="0" borderId="0" xfId="3" applyNumberFormat="1" applyFont="1"/>
    <xf numFmtId="0" fontId="34" fillId="0" borderId="0" xfId="1" applyFont="1" applyAlignment="1">
      <alignment horizontal="left"/>
    </xf>
    <xf numFmtId="0" fontId="34" fillId="0" borderId="0" xfId="1" applyFont="1"/>
    <xf numFmtId="0" fontId="34" fillId="0" borderId="0" xfId="1" applyFont="1" applyBorder="1"/>
    <xf numFmtId="0" fontId="17" fillId="0" borderId="0" xfId="1" applyFont="1" applyAlignment="1">
      <alignment horizontal="left"/>
    </xf>
    <xf numFmtId="0" fontId="17" fillId="0" borderId="0" xfId="1" applyFont="1" applyAlignment="1">
      <alignment horizontal="center"/>
    </xf>
    <xf numFmtId="0" fontId="17" fillId="0" borderId="0" xfId="1" applyFont="1" applyAlignment="1">
      <alignment horizontal="centerContinuous"/>
    </xf>
    <xf numFmtId="0" fontId="17" fillId="0" borderId="0" xfId="1" applyFont="1" applyBorder="1" applyAlignment="1">
      <alignment horizontal="centerContinuous"/>
    </xf>
    <xf numFmtId="0" fontId="20" fillId="0" borderId="0" xfId="1" applyFont="1" applyBorder="1"/>
    <xf numFmtId="0" fontId="17" fillId="0" borderId="0" xfId="1" applyFont="1" applyBorder="1" applyAlignment="1">
      <alignment horizontal="center"/>
    </xf>
    <xf numFmtId="4" fontId="17" fillId="0" borderId="0" xfId="0" applyNumberFormat="1" applyFont="1"/>
    <xf numFmtId="4" fontId="17" fillId="0" borderId="0" xfId="0" applyNumberFormat="1" applyFont="1" applyAlignment="1">
      <alignment horizontal="left" vertical="center"/>
    </xf>
    <xf numFmtId="4" fontId="43" fillId="0" borderId="0" xfId="0" applyNumberFormat="1" applyFont="1" applyAlignment="1">
      <alignment horizontal="left" vertical="center"/>
    </xf>
    <xf numFmtId="4" fontId="43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left" vertical="center"/>
    </xf>
    <xf numFmtId="4" fontId="43" fillId="0" borderId="0" xfId="0" applyNumberFormat="1" applyFont="1"/>
    <xf numFmtId="4" fontId="21" fillId="0" borderId="0" xfId="0" applyNumberFormat="1" applyFont="1"/>
    <xf numFmtId="0" fontId="3" fillId="0" borderId="5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10" fontId="0" fillId="0" borderId="1" xfId="0" applyNumberForma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45" fillId="0" borderId="22" xfId="0" applyNumberFormat="1" applyFont="1" applyFill="1" applyBorder="1" applyAlignment="1">
      <alignment horizontal="center"/>
    </xf>
    <xf numFmtId="2" fontId="45" fillId="0" borderId="24" xfId="0" applyNumberFormat="1" applyFont="1" applyFill="1" applyBorder="1" applyAlignment="1">
      <alignment horizontal="center"/>
    </xf>
    <xf numFmtId="2" fontId="45" fillId="0" borderId="23" xfId="0" applyNumberFormat="1" applyFont="1" applyFill="1" applyBorder="1" applyAlignment="1">
      <alignment horizontal="center"/>
    </xf>
    <xf numFmtId="0" fontId="45" fillId="0" borderId="22" xfId="0" applyFont="1" applyFill="1" applyBorder="1" applyAlignment="1">
      <alignment horizontal="center"/>
    </xf>
    <xf numFmtId="0" fontId="45" fillId="0" borderId="23" xfId="0" applyFont="1" applyFill="1" applyBorder="1" applyAlignment="1">
      <alignment horizontal="center"/>
    </xf>
    <xf numFmtId="0" fontId="45" fillId="0" borderId="0" xfId="0" applyFont="1" applyFill="1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0" fontId="0" fillId="2" borderId="21" xfId="0" applyFont="1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center" vertical="center" wrapText="1"/>
    </xf>
    <xf numFmtId="0" fontId="0" fillId="2" borderId="24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 vertical="center"/>
    </xf>
    <xf numFmtId="2" fontId="0" fillId="0" borderId="39" xfId="0" applyNumberFormat="1" applyFont="1" applyFill="1" applyBorder="1" applyAlignment="1">
      <alignment horizontal="center" vertical="center"/>
    </xf>
    <xf numFmtId="3" fontId="0" fillId="0" borderId="38" xfId="0" applyNumberFormat="1" applyFont="1" applyFill="1" applyBorder="1" applyAlignment="1">
      <alignment horizontal="center" vertical="center"/>
    </xf>
    <xf numFmtId="3" fontId="0" fillId="0" borderId="9" xfId="0" applyNumberFormat="1" applyFont="1" applyFill="1" applyBorder="1" applyAlignment="1">
      <alignment horizontal="center" vertical="center"/>
    </xf>
    <xf numFmtId="2" fontId="0" fillId="0" borderId="10" xfId="0" applyNumberFormat="1" applyFont="1" applyFill="1" applyBorder="1" applyAlignment="1">
      <alignment horizontal="center" vertical="center"/>
    </xf>
    <xf numFmtId="0" fontId="0" fillId="0" borderId="9" xfId="0" applyFont="1" applyFill="1" applyBorder="1"/>
    <xf numFmtId="0" fontId="0" fillId="0" borderId="0" xfId="0" applyFont="1" applyFill="1"/>
    <xf numFmtId="0" fontId="47" fillId="0" borderId="0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45" fillId="0" borderId="0" xfId="0" applyFont="1" applyFill="1" applyAlignment="1">
      <alignment wrapText="1"/>
    </xf>
    <xf numFmtId="2" fontId="45" fillId="0" borderId="25" xfId="0" applyNumberFormat="1" applyFont="1" applyFill="1" applyBorder="1" applyAlignment="1">
      <alignment horizontal="center"/>
    </xf>
    <xf numFmtId="0" fontId="48" fillId="0" borderId="0" xfId="0" applyFont="1" applyFill="1"/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9" xfId="0" applyNumberFormat="1" applyFont="1" applyFill="1" applyBorder="1" applyAlignment="1" applyProtection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2" fontId="0" fillId="0" borderId="18" xfId="0" applyNumberFormat="1" applyFont="1" applyFill="1" applyBorder="1" applyAlignment="1">
      <alignment horizontal="center" vertical="center"/>
    </xf>
    <xf numFmtId="2" fontId="0" fillId="0" borderId="19" xfId="0" applyNumberFormat="1" applyFont="1" applyFill="1" applyBorder="1" applyAlignment="1">
      <alignment horizontal="center" vertical="center"/>
    </xf>
    <xf numFmtId="3" fontId="9" fillId="0" borderId="45" xfId="0" applyNumberFormat="1" applyFont="1" applyBorder="1"/>
    <xf numFmtId="0" fontId="3" fillId="2" borderId="1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39" xfId="0" applyNumberFormat="1" applyFont="1" applyFill="1" applyBorder="1" applyAlignment="1">
      <alignment horizontal="center" vertical="center"/>
    </xf>
    <xf numFmtId="0" fontId="3" fillId="0" borderId="9" xfId="0" applyFont="1" applyFill="1" applyBorder="1"/>
    <xf numFmtId="0" fontId="3" fillId="0" borderId="25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wrapText="1"/>
    </xf>
    <xf numFmtId="0" fontId="9" fillId="0" borderId="30" xfId="0" applyFont="1" applyBorder="1" applyAlignment="1">
      <alignment horizontal="center"/>
    </xf>
    <xf numFmtId="3" fontId="9" fillId="0" borderId="30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3" fontId="9" fillId="0" borderId="51" xfId="0" applyNumberFormat="1" applyFont="1" applyBorder="1" applyAlignment="1">
      <alignment horizontal="center" vertical="center" wrapText="1"/>
    </xf>
    <xf numFmtId="3" fontId="9" fillId="0" borderId="59" xfId="0" applyNumberFormat="1" applyFont="1" applyBorder="1"/>
    <xf numFmtId="3" fontId="9" fillId="0" borderId="12" xfId="0" applyNumberFormat="1" applyFont="1" applyBorder="1"/>
    <xf numFmtId="3" fontId="9" fillId="0" borderId="60" xfId="0" applyNumberFormat="1" applyFont="1" applyBorder="1"/>
    <xf numFmtId="4" fontId="17" fillId="0" borderId="1" xfId="3" applyNumberFormat="1" applyFont="1" applyBorder="1" applyAlignment="1">
      <alignment horizontal="center" vertical="center"/>
    </xf>
    <xf numFmtId="4" fontId="17" fillId="0" borderId="1" xfId="1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4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29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50" fillId="0" borderId="9" xfId="0" applyFont="1" applyBorder="1" applyAlignment="1">
      <alignment horizontal="center" vertical="center" wrapText="1"/>
    </xf>
    <xf numFmtId="0" fontId="51" fillId="0" borderId="9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Fill="1" applyBorder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2" fillId="0" borderId="0" xfId="0" applyFont="1" applyBorder="1"/>
    <xf numFmtId="4" fontId="2" fillId="0" borderId="0" xfId="0" applyNumberFormat="1" applyFon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52" fillId="0" borderId="0" xfId="0" applyFont="1"/>
    <xf numFmtId="0" fontId="53" fillId="0" borderId="27" xfId="0" applyFont="1" applyBorder="1" applyAlignment="1">
      <alignment horizontal="center" vertical="center" textRotation="90"/>
    </xf>
    <xf numFmtId="0" fontId="53" fillId="0" borderId="50" xfId="0" applyFont="1" applyBorder="1" applyAlignment="1">
      <alignment horizontal="center" vertical="center" textRotation="90"/>
    </xf>
    <xf numFmtId="0" fontId="53" fillId="0" borderId="30" xfId="0" applyFont="1" applyBorder="1" applyAlignment="1">
      <alignment horizontal="center" vertical="center"/>
    </xf>
    <xf numFmtId="0" fontId="53" fillId="0" borderId="30" xfId="0" applyFont="1" applyBorder="1" applyAlignment="1">
      <alignment horizontal="center" vertical="center" textRotation="90"/>
    </xf>
    <xf numFmtId="3" fontId="53" fillId="0" borderId="16" xfId="0" applyNumberFormat="1" applyFont="1" applyBorder="1" applyAlignment="1">
      <alignment horizontal="center" vertical="center" textRotation="90"/>
    </xf>
    <xf numFmtId="0" fontId="53" fillId="0" borderId="31" xfId="0" applyFont="1" applyBorder="1" applyAlignment="1">
      <alignment horizontal="center" vertical="center"/>
    </xf>
    <xf numFmtId="0" fontId="53" fillId="0" borderId="16" xfId="0" applyFont="1" applyBorder="1" applyAlignment="1">
      <alignment horizontal="center" vertical="center" textRotation="90"/>
    </xf>
    <xf numFmtId="0" fontId="50" fillId="0" borderId="1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37" xfId="0" applyFont="1" applyFill="1" applyBorder="1" applyAlignment="1"/>
    <xf numFmtId="0" fontId="0" fillId="0" borderId="37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10" fontId="9" fillId="0" borderId="17" xfId="0" applyNumberFormat="1" applyFont="1" applyBorder="1" applyAlignment="1">
      <alignment horizontal="center" vertical="center"/>
    </xf>
    <xf numFmtId="10" fontId="9" fillId="0" borderId="19" xfId="0" applyNumberFormat="1" applyFont="1" applyBorder="1" applyAlignment="1">
      <alignment horizontal="center" vertical="center"/>
    </xf>
    <xf numFmtId="10" fontId="9" fillId="0" borderId="20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3" fontId="44" fillId="0" borderId="3" xfId="0" applyNumberFormat="1" applyFont="1" applyBorder="1" applyAlignment="1">
      <alignment horizontal="center" vertical="center"/>
    </xf>
    <xf numFmtId="3" fontId="44" fillId="0" borderId="8" xfId="0" applyNumberFormat="1" applyFont="1" applyBorder="1" applyAlignment="1">
      <alignment horizontal="center" vertical="center"/>
    </xf>
    <xf numFmtId="0" fontId="10" fillId="0" borderId="47" xfId="0" applyFont="1" applyBorder="1" applyAlignment="1">
      <alignment horizontal="center"/>
    </xf>
    <xf numFmtId="0" fontId="10" fillId="0" borderId="60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51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9" fillId="0" borderId="11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center" vertical="center"/>
    </xf>
    <xf numFmtId="0" fontId="9" fillId="0" borderId="46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46" fillId="0" borderId="29" xfId="0" applyFont="1" applyBorder="1" applyAlignment="1">
      <alignment horizontal="center"/>
    </xf>
    <xf numFmtId="0" fontId="46" fillId="0" borderId="51" xfId="0" applyFont="1" applyBorder="1" applyAlignment="1">
      <alignment horizontal="center"/>
    </xf>
    <xf numFmtId="0" fontId="46" fillId="0" borderId="50" xfId="0" applyFont="1" applyBorder="1" applyAlignment="1">
      <alignment horizontal="center"/>
    </xf>
    <xf numFmtId="0" fontId="45" fillId="0" borderId="48" xfId="0" applyFont="1" applyFill="1" applyBorder="1" applyAlignment="1">
      <alignment horizontal="center"/>
    </xf>
    <xf numFmtId="0" fontId="45" fillId="0" borderId="22" xfId="0" applyFont="1" applyFill="1" applyBorder="1" applyAlignment="1">
      <alignment horizontal="center"/>
    </xf>
    <xf numFmtId="0" fontId="45" fillId="0" borderId="21" xfId="0" applyFont="1" applyFill="1" applyBorder="1" applyAlignment="1">
      <alignment horizontal="center"/>
    </xf>
    <xf numFmtId="0" fontId="45" fillId="0" borderId="52" xfId="0" applyFont="1" applyBorder="1" applyAlignment="1">
      <alignment horizontal="center" vertical="center" wrapText="1"/>
    </xf>
    <xf numFmtId="0" fontId="45" fillId="0" borderId="53" xfId="0" applyFont="1" applyBorder="1" applyAlignment="1">
      <alignment horizontal="center" vertical="center" wrapText="1"/>
    </xf>
    <xf numFmtId="0" fontId="45" fillId="0" borderId="55" xfId="0" applyFont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 wrapText="1"/>
    </xf>
    <xf numFmtId="0" fontId="45" fillId="0" borderId="56" xfId="0" applyFont="1" applyBorder="1" applyAlignment="1">
      <alignment horizontal="center" vertical="center" wrapText="1"/>
    </xf>
    <xf numFmtId="0" fontId="45" fillId="0" borderId="32" xfId="0" applyFont="1" applyBorder="1" applyAlignment="1">
      <alignment horizontal="center" vertical="center" wrapText="1"/>
    </xf>
    <xf numFmtId="0" fontId="45" fillId="0" borderId="29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45" fillId="0" borderId="51" xfId="0" applyFont="1" applyFill="1" applyBorder="1" applyAlignment="1">
      <alignment horizontal="center" vertical="center" wrapText="1"/>
    </xf>
    <xf numFmtId="0" fontId="45" fillId="0" borderId="50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/>
    </xf>
    <xf numFmtId="0" fontId="3" fillId="0" borderId="63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3" fillId="0" borderId="69" xfId="0" applyFont="1" applyFill="1" applyBorder="1" applyAlignment="1">
      <alignment horizontal="center"/>
    </xf>
    <xf numFmtId="0" fontId="14" fillId="0" borderId="37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45" fillId="0" borderId="64" xfId="0" applyFont="1" applyFill="1" applyBorder="1" applyAlignment="1">
      <alignment horizontal="center"/>
    </xf>
    <xf numFmtId="0" fontId="45" fillId="0" borderId="25" xfId="0" applyFont="1" applyFill="1" applyBorder="1" applyAlignment="1">
      <alignment horizontal="center"/>
    </xf>
    <xf numFmtId="0" fontId="47" fillId="0" borderId="29" xfId="0" applyFont="1" applyBorder="1" applyAlignment="1">
      <alignment horizontal="center"/>
    </xf>
    <xf numFmtId="0" fontId="47" fillId="0" borderId="51" xfId="0" applyFont="1" applyBorder="1" applyAlignment="1">
      <alignment horizontal="center"/>
    </xf>
    <xf numFmtId="0" fontId="47" fillId="0" borderId="50" xfId="0" applyFont="1" applyBorder="1" applyAlignment="1">
      <alignment horizontal="center"/>
    </xf>
    <xf numFmtId="0" fontId="48" fillId="0" borderId="52" xfId="0" applyFont="1" applyBorder="1" applyAlignment="1">
      <alignment horizontal="center" vertical="center" wrapText="1"/>
    </xf>
    <xf numFmtId="0" fontId="48" fillId="0" borderId="53" xfId="0" applyFont="1" applyBorder="1" applyAlignment="1">
      <alignment horizontal="center" vertical="center" wrapText="1"/>
    </xf>
    <xf numFmtId="0" fontId="48" fillId="0" borderId="55" xfId="0" applyFont="1" applyBorder="1" applyAlignment="1">
      <alignment horizontal="center" vertical="center" wrapText="1"/>
    </xf>
    <xf numFmtId="0" fontId="48" fillId="0" borderId="54" xfId="0" applyFont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70" xfId="0" applyFill="1" applyBorder="1" applyAlignment="1">
      <alignment horizontal="center"/>
    </xf>
    <xf numFmtId="0" fontId="8" fillId="0" borderId="3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23" fillId="0" borderId="0" xfId="1" applyFont="1" applyAlignment="1">
      <alignment horizontal="center"/>
    </xf>
    <xf numFmtId="0" fontId="12" fillId="0" borderId="0" xfId="0" applyFont="1" applyAlignment="1">
      <alignment horizontal="center" wrapText="1"/>
    </xf>
    <xf numFmtId="0" fontId="25" fillId="3" borderId="29" xfId="1" applyFont="1" applyFill="1" applyBorder="1" applyAlignment="1">
      <alignment horizontal="center"/>
    </xf>
    <xf numFmtId="0" fontId="25" fillId="3" borderId="51" xfId="1" applyFont="1" applyFill="1" applyBorder="1" applyAlignment="1">
      <alignment horizontal="center"/>
    </xf>
    <xf numFmtId="0" fontId="23" fillId="0" borderId="0" xfId="1" applyFont="1" applyAlignment="1">
      <alignment horizontal="center" wrapText="1"/>
    </xf>
    <xf numFmtId="0" fontId="13" fillId="6" borderId="29" xfId="0" applyFont="1" applyFill="1" applyBorder="1" applyAlignment="1">
      <alignment horizontal="center"/>
    </xf>
    <xf numFmtId="0" fontId="13" fillId="6" borderId="51" xfId="0" applyFont="1" applyFill="1" applyBorder="1" applyAlignment="1">
      <alignment horizontal="center"/>
    </xf>
    <xf numFmtId="0" fontId="13" fillId="6" borderId="50" xfId="0" applyFont="1" applyFill="1" applyBorder="1" applyAlignment="1">
      <alignment horizontal="center"/>
    </xf>
    <xf numFmtId="0" fontId="24" fillId="0" borderId="0" xfId="1" applyFont="1" applyAlignment="1">
      <alignment horizontal="center" vertical="center" wrapText="1"/>
    </xf>
    <xf numFmtId="0" fontId="23" fillId="0" borderId="52" xfId="1" applyFont="1" applyBorder="1" applyAlignment="1">
      <alignment horizontal="center" vertical="center" wrapText="1"/>
    </xf>
    <xf numFmtId="0" fontId="23" fillId="0" borderId="58" xfId="1" applyFont="1" applyBorder="1" applyAlignment="1">
      <alignment horizontal="center" vertical="center" wrapText="1"/>
    </xf>
    <xf numFmtId="0" fontId="23" fillId="0" borderId="65" xfId="1" applyFont="1" applyBorder="1" applyAlignment="1">
      <alignment horizontal="center" vertical="center" wrapText="1"/>
    </xf>
    <xf numFmtId="0" fontId="23" fillId="0" borderId="53" xfId="1" applyFont="1" applyBorder="1" applyAlignment="1">
      <alignment horizontal="center" vertical="center" wrapText="1"/>
    </xf>
    <xf numFmtId="0" fontId="23" fillId="0" borderId="37" xfId="1" applyFont="1" applyBorder="1" applyAlignment="1">
      <alignment horizontal="center" vertical="center" wrapText="1"/>
    </xf>
    <xf numFmtId="0" fontId="23" fillId="0" borderId="66" xfId="1" applyFont="1" applyBorder="1" applyAlignment="1">
      <alignment horizontal="center" vertical="center" wrapText="1"/>
    </xf>
    <xf numFmtId="0" fontId="23" fillId="0" borderId="54" xfId="1" applyNumberFormat="1" applyFont="1" applyBorder="1" applyAlignment="1">
      <alignment horizontal="center" vertical="center" wrapText="1"/>
    </xf>
    <xf numFmtId="0" fontId="23" fillId="0" borderId="56" xfId="1" applyNumberFormat="1" applyFont="1" applyBorder="1" applyAlignment="1">
      <alignment horizontal="center" vertical="center" wrapText="1"/>
    </xf>
    <xf numFmtId="0" fontId="23" fillId="0" borderId="10" xfId="1" applyNumberFormat="1" applyFont="1" applyBorder="1" applyAlignment="1">
      <alignment horizontal="center" vertical="center" wrapText="1"/>
    </xf>
    <xf numFmtId="0" fontId="23" fillId="0" borderId="62" xfId="1" applyNumberFormat="1" applyFont="1" applyBorder="1" applyAlignment="1">
      <alignment horizontal="center" vertical="center" wrapText="1"/>
    </xf>
    <xf numFmtId="0" fontId="23" fillId="0" borderId="34" xfId="1" applyFont="1" applyBorder="1" applyAlignment="1">
      <alignment horizontal="center" vertical="center" wrapText="1"/>
    </xf>
    <xf numFmtId="0" fontId="28" fillId="0" borderId="10" xfId="0" applyFont="1" applyBorder="1"/>
    <xf numFmtId="0" fontId="23" fillId="0" borderId="13" xfId="1" applyFont="1" applyBorder="1" applyAlignment="1">
      <alignment horizontal="center" vertical="center" wrapText="1"/>
    </xf>
    <xf numFmtId="0" fontId="23" fillId="0" borderId="9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3" fontId="17" fillId="0" borderId="29" xfId="1" applyNumberFormat="1" applyFont="1" applyBorder="1" applyAlignment="1">
      <alignment horizontal="center"/>
    </xf>
    <xf numFmtId="3" fontId="17" fillId="0" borderId="51" xfId="1" applyNumberFormat="1" applyFont="1" applyBorder="1" applyAlignment="1">
      <alignment horizontal="center"/>
    </xf>
    <xf numFmtId="3" fontId="17" fillId="0" borderId="50" xfId="1" applyNumberFormat="1" applyFont="1" applyBorder="1" applyAlignment="1">
      <alignment horizontal="center"/>
    </xf>
    <xf numFmtId="0" fontId="40" fillId="0" borderId="0" xfId="1" applyFont="1" applyAlignment="1">
      <alignment horizontal="right"/>
    </xf>
    <xf numFmtId="164" fontId="16" fillId="0" borderId="0" xfId="3" applyFont="1" applyAlignment="1">
      <alignment horizontal="center" vertical="center"/>
    </xf>
    <xf numFmtId="164" fontId="19" fillId="0" borderId="0" xfId="3" applyFont="1" applyAlignment="1">
      <alignment horizontal="center" vertical="center"/>
    </xf>
    <xf numFmtId="0" fontId="17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0" fontId="0" fillId="0" borderId="62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32" fillId="0" borderId="0" xfId="0" applyFont="1" applyFill="1" applyAlignment="1"/>
    <xf numFmtId="0" fontId="32" fillId="0" borderId="0" xfId="0" applyFont="1" applyFill="1" applyAlignment="1">
      <alignment horizontal="right"/>
    </xf>
    <xf numFmtId="1" fontId="0" fillId="0" borderId="0" xfId="0" applyNumberFormat="1" applyFill="1"/>
  </cellXfs>
  <cellStyles count="5">
    <cellStyle name="Comma [0] 2" xfId="3"/>
    <cellStyle name="Comma 2" xfId="4"/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ristian%60s%20Library\Desktop\chitila%20consultanta\2\DEVIZ%20HG907%20Scoala%20Chitila%20FINAL%20-%20Solutia%202_Aleasa%20_Rev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Z GENERAL "/>
      <sheetName val="CAP. 1"/>
      <sheetName val="CAP. 2"/>
      <sheetName val="CAP. 3"/>
      <sheetName val="CAP. 4"/>
      <sheetName val="CAP. 5"/>
      <sheetName val="Obiect 1 Școală"/>
      <sheetName val="Obiect 2 Sala sport"/>
      <sheetName val="Obiect 3 - Sist. Exterioare"/>
      <sheetName val="Obiect - Spații Verzi"/>
      <sheetName val="Obiect - Edilitare"/>
      <sheetName val="grafic cu valori bun"/>
      <sheetName val="Evaluare scoala"/>
      <sheetName val="Evaluare sala"/>
      <sheetName val="Evaluare Sis. Ext."/>
      <sheetName val="Evaluare Sp. Verzi"/>
      <sheetName val="Evaluare Edilitare"/>
      <sheetName val="Sheet1"/>
      <sheetName val="grafic fara valori bun2"/>
      <sheetName val="DEVIZ GENERAL (3)"/>
    </sheetNames>
    <sheetDataSet>
      <sheetData sheetId="0" refreshError="1"/>
      <sheetData sheetId="1" refreshError="1">
        <row r="18">
          <cell r="E1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7"/>
  <sheetViews>
    <sheetView workbookViewId="0">
      <selection activeCell="B14" sqref="B14"/>
    </sheetView>
  </sheetViews>
  <sheetFormatPr defaultRowHeight="14.5" x14ac:dyDescent="0.35"/>
  <cols>
    <col min="1" max="1" width="19.453125" customWidth="1"/>
    <col min="2" max="2" width="16" customWidth="1"/>
    <col min="3" max="3" width="19.1796875" customWidth="1"/>
    <col min="4" max="4" width="31.26953125" customWidth="1"/>
  </cols>
  <sheetData>
    <row r="4" spans="1:4" ht="31" x14ac:dyDescent="0.35">
      <c r="A4" s="18" t="s">
        <v>48</v>
      </c>
      <c r="B4" s="18" t="s">
        <v>50</v>
      </c>
      <c r="C4" s="18" t="s">
        <v>52</v>
      </c>
      <c r="D4" s="18" t="s">
        <v>54</v>
      </c>
    </row>
    <row r="5" spans="1:4" ht="46.5" x14ac:dyDescent="0.35">
      <c r="A5" s="18" t="s">
        <v>49</v>
      </c>
      <c r="B5" s="18" t="s">
        <v>51</v>
      </c>
      <c r="C5" s="18" t="s">
        <v>53</v>
      </c>
      <c r="D5" s="18" t="s">
        <v>53</v>
      </c>
    </row>
    <row r="6" spans="1:4" x14ac:dyDescent="0.35">
      <c r="A6" s="19" t="s">
        <v>43</v>
      </c>
      <c r="B6" s="19" t="s">
        <v>43</v>
      </c>
      <c r="C6" s="19" t="s">
        <v>43</v>
      </c>
      <c r="D6" s="19" t="s">
        <v>43</v>
      </c>
    </row>
    <row r="7" spans="1:4" x14ac:dyDescent="0.35">
      <c r="A7" s="22">
        <f>'DG LED'!C66/'DG LED'!E91/1000</f>
        <v>429.77066778285791</v>
      </c>
      <c r="B7" s="22">
        <f>C7-A7</f>
        <v>153.31340717367505</v>
      </c>
      <c r="C7" s="22">
        <f>Indicatori!L12</f>
        <v>583.08407495653296</v>
      </c>
      <c r="D7" s="22">
        <f>Indicatori!M12</f>
        <v>692.36007158649397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04"/>
  <sheetViews>
    <sheetView tabSelected="1" workbookViewId="0">
      <selection activeCell="B6" sqref="B6"/>
    </sheetView>
  </sheetViews>
  <sheetFormatPr defaultRowHeight="12.5" x14ac:dyDescent="0.25"/>
  <cols>
    <col min="1" max="1" width="5.453125" style="136" customWidth="1"/>
    <col min="2" max="2" width="62.54296875" style="136" customWidth="1"/>
    <col min="3" max="3" width="15.26953125" style="136" customWidth="1"/>
    <col min="4" max="4" width="13.81640625" style="136" customWidth="1"/>
    <col min="5" max="5" width="13.7265625" style="136" customWidth="1"/>
    <col min="6" max="6" width="6" style="136" hidden="1" customWidth="1"/>
    <col min="7" max="22" width="0" style="136" hidden="1" customWidth="1"/>
    <col min="23" max="23" width="0" style="137" hidden="1" customWidth="1"/>
    <col min="24" max="43" width="0" style="136" hidden="1" customWidth="1"/>
    <col min="44" max="44" width="14.26953125" style="136" customWidth="1"/>
    <col min="45" max="221" width="9.1796875" style="136"/>
    <col min="222" max="222" width="5.453125" style="136" customWidth="1"/>
    <col min="223" max="223" width="52.453125" style="136" customWidth="1"/>
    <col min="224" max="228" width="15.7265625" style="136" customWidth="1"/>
    <col min="229" max="229" width="0.1796875" style="136" customWidth="1"/>
    <col min="230" max="477" width="9.1796875" style="136"/>
    <col min="478" max="478" width="5.453125" style="136" customWidth="1"/>
    <col min="479" max="479" width="52.453125" style="136" customWidth="1"/>
    <col min="480" max="484" width="15.7265625" style="136" customWidth="1"/>
    <col min="485" max="485" width="0.1796875" style="136" customWidth="1"/>
    <col min="486" max="733" width="9.1796875" style="136"/>
    <col min="734" max="734" width="5.453125" style="136" customWidth="1"/>
    <col min="735" max="735" width="52.453125" style="136" customWidth="1"/>
    <col min="736" max="740" width="15.7265625" style="136" customWidth="1"/>
    <col min="741" max="741" width="0.1796875" style="136" customWidth="1"/>
    <col min="742" max="989" width="9.1796875" style="136"/>
    <col min="990" max="990" width="5.453125" style="136" customWidth="1"/>
    <col min="991" max="991" width="52.453125" style="136" customWidth="1"/>
    <col min="992" max="996" width="15.7265625" style="136" customWidth="1"/>
    <col min="997" max="997" width="0.1796875" style="136" customWidth="1"/>
    <col min="998" max="1245" width="9.1796875" style="136"/>
    <col min="1246" max="1246" width="5.453125" style="136" customWidth="1"/>
    <col min="1247" max="1247" width="52.453125" style="136" customWidth="1"/>
    <col min="1248" max="1252" width="15.7265625" style="136" customWidth="1"/>
    <col min="1253" max="1253" width="0.1796875" style="136" customWidth="1"/>
    <col min="1254" max="1501" width="9.1796875" style="136"/>
    <col min="1502" max="1502" width="5.453125" style="136" customWidth="1"/>
    <col min="1503" max="1503" width="52.453125" style="136" customWidth="1"/>
    <col min="1504" max="1508" width="15.7265625" style="136" customWidth="1"/>
    <col min="1509" max="1509" width="0.1796875" style="136" customWidth="1"/>
    <col min="1510" max="1757" width="9.1796875" style="136"/>
    <col min="1758" max="1758" width="5.453125" style="136" customWidth="1"/>
    <col min="1759" max="1759" width="52.453125" style="136" customWidth="1"/>
    <col min="1760" max="1764" width="15.7265625" style="136" customWidth="1"/>
    <col min="1765" max="1765" width="0.1796875" style="136" customWidth="1"/>
    <col min="1766" max="2013" width="9.1796875" style="136"/>
    <col min="2014" max="2014" width="5.453125" style="136" customWidth="1"/>
    <col min="2015" max="2015" width="52.453125" style="136" customWidth="1"/>
    <col min="2016" max="2020" width="15.7265625" style="136" customWidth="1"/>
    <col min="2021" max="2021" width="0.1796875" style="136" customWidth="1"/>
    <col min="2022" max="2269" width="9.1796875" style="136"/>
    <col min="2270" max="2270" width="5.453125" style="136" customWidth="1"/>
    <col min="2271" max="2271" width="52.453125" style="136" customWidth="1"/>
    <col min="2272" max="2276" width="15.7265625" style="136" customWidth="1"/>
    <col min="2277" max="2277" width="0.1796875" style="136" customWidth="1"/>
    <col min="2278" max="2525" width="9.1796875" style="136"/>
    <col min="2526" max="2526" width="5.453125" style="136" customWidth="1"/>
    <col min="2527" max="2527" width="52.453125" style="136" customWidth="1"/>
    <col min="2528" max="2532" width="15.7265625" style="136" customWidth="1"/>
    <col min="2533" max="2533" width="0.1796875" style="136" customWidth="1"/>
    <col min="2534" max="2781" width="9.1796875" style="136"/>
    <col min="2782" max="2782" width="5.453125" style="136" customWidth="1"/>
    <col min="2783" max="2783" width="52.453125" style="136" customWidth="1"/>
    <col min="2784" max="2788" width="15.7265625" style="136" customWidth="1"/>
    <col min="2789" max="2789" width="0.1796875" style="136" customWidth="1"/>
    <col min="2790" max="3037" width="9.1796875" style="136"/>
    <col min="3038" max="3038" width="5.453125" style="136" customWidth="1"/>
    <col min="3039" max="3039" width="52.453125" style="136" customWidth="1"/>
    <col min="3040" max="3044" width="15.7265625" style="136" customWidth="1"/>
    <col min="3045" max="3045" width="0.1796875" style="136" customWidth="1"/>
    <col min="3046" max="3293" width="9.1796875" style="136"/>
    <col min="3294" max="3294" width="5.453125" style="136" customWidth="1"/>
    <col min="3295" max="3295" width="52.453125" style="136" customWidth="1"/>
    <col min="3296" max="3300" width="15.7265625" style="136" customWidth="1"/>
    <col min="3301" max="3301" width="0.1796875" style="136" customWidth="1"/>
    <col min="3302" max="3549" width="9.1796875" style="136"/>
    <col min="3550" max="3550" width="5.453125" style="136" customWidth="1"/>
    <col min="3551" max="3551" width="52.453125" style="136" customWidth="1"/>
    <col min="3552" max="3556" width="15.7265625" style="136" customWidth="1"/>
    <col min="3557" max="3557" width="0.1796875" style="136" customWidth="1"/>
    <col min="3558" max="3805" width="9.1796875" style="136"/>
    <col min="3806" max="3806" width="5.453125" style="136" customWidth="1"/>
    <col min="3807" max="3807" width="52.453125" style="136" customWidth="1"/>
    <col min="3808" max="3812" width="15.7265625" style="136" customWidth="1"/>
    <col min="3813" max="3813" width="0.1796875" style="136" customWidth="1"/>
    <col min="3814" max="4061" width="9.1796875" style="136"/>
    <col min="4062" max="4062" width="5.453125" style="136" customWidth="1"/>
    <col min="4063" max="4063" width="52.453125" style="136" customWidth="1"/>
    <col min="4064" max="4068" width="15.7265625" style="136" customWidth="1"/>
    <col min="4069" max="4069" width="0.1796875" style="136" customWidth="1"/>
    <col min="4070" max="4317" width="9.1796875" style="136"/>
    <col min="4318" max="4318" width="5.453125" style="136" customWidth="1"/>
    <col min="4319" max="4319" width="52.453125" style="136" customWidth="1"/>
    <col min="4320" max="4324" width="15.7265625" style="136" customWidth="1"/>
    <col min="4325" max="4325" width="0.1796875" style="136" customWidth="1"/>
    <col min="4326" max="4573" width="9.1796875" style="136"/>
    <col min="4574" max="4574" width="5.453125" style="136" customWidth="1"/>
    <col min="4575" max="4575" width="52.453125" style="136" customWidth="1"/>
    <col min="4576" max="4580" width="15.7265625" style="136" customWidth="1"/>
    <col min="4581" max="4581" width="0.1796875" style="136" customWidth="1"/>
    <col min="4582" max="4829" width="9.1796875" style="136"/>
    <col min="4830" max="4830" width="5.453125" style="136" customWidth="1"/>
    <col min="4831" max="4831" width="52.453125" style="136" customWidth="1"/>
    <col min="4832" max="4836" width="15.7265625" style="136" customWidth="1"/>
    <col min="4837" max="4837" width="0.1796875" style="136" customWidth="1"/>
    <col min="4838" max="5085" width="9.1796875" style="136"/>
    <col min="5086" max="5086" width="5.453125" style="136" customWidth="1"/>
    <col min="5087" max="5087" width="52.453125" style="136" customWidth="1"/>
    <col min="5088" max="5092" width="15.7265625" style="136" customWidth="1"/>
    <col min="5093" max="5093" width="0.1796875" style="136" customWidth="1"/>
    <col min="5094" max="5341" width="9.1796875" style="136"/>
    <col min="5342" max="5342" width="5.453125" style="136" customWidth="1"/>
    <col min="5343" max="5343" width="52.453125" style="136" customWidth="1"/>
    <col min="5344" max="5348" width="15.7265625" style="136" customWidth="1"/>
    <col min="5349" max="5349" width="0.1796875" style="136" customWidth="1"/>
    <col min="5350" max="5597" width="9.1796875" style="136"/>
    <col min="5598" max="5598" width="5.453125" style="136" customWidth="1"/>
    <col min="5599" max="5599" width="52.453125" style="136" customWidth="1"/>
    <col min="5600" max="5604" width="15.7265625" style="136" customWidth="1"/>
    <col min="5605" max="5605" width="0.1796875" style="136" customWidth="1"/>
    <col min="5606" max="5853" width="9.1796875" style="136"/>
    <col min="5854" max="5854" width="5.453125" style="136" customWidth="1"/>
    <col min="5855" max="5855" width="52.453125" style="136" customWidth="1"/>
    <col min="5856" max="5860" width="15.7265625" style="136" customWidth="1"/>
    <col min="5861" max="5861" width="0.1796875" style="136" customWidth="1"/>
    <col min="5862" max="6109" width="9.1796875" style="136"/>
    <col min="6110" max="6110" width="5.453125" style="136" customWidth="1"/>
    <col min="6111" max="6111" width="52.453125" style="136" customWidth="1"/>
    <col min="6112" max="6116" width="15.7265625" style="136" customWidth="1"/>
    <col min="6117" max="6117" width="0.1796875" style="136" customWidth="1"/>
    <col min="6118" max="6365" width="9.1796875" style="136"/>
    <col min="6366" max="6366" width="5.453125" style="136" customWidth="1"/>
    <col min="6367" max="6367" width="52.453125" style="136" customWidth="1"/>
    <col min="6368" max="6372" width="15.7265625" style="136" customWidth="1"/>
    <col min="6373" max="6373" width="0.1796875" style="136" customWidth="1"/>
    <col min="6374" max="6621" width="9.1796875" style="136"/>
    <col min="6622" max="6622" width="5.453125" style="136" customWidth="1"/>
    <col min="6623" max="6623" width="52.453125" style="136" customWidth="1"/>
    <col min="6624" max="6628" width="15.7265625" style="136" customWidth="1"/>
    <col min="6629" max="6629" width="0.1796875" style="136" customWidth="1"/>
    <col min="6630" max="6877" width="9.1796875" style="136"/>
    <col min="6878" max="6878" width="5.453125" style="136" customWidth="1"/>
    <col min="6879" max="6879" width="52.453125" style="136" customWidth="1"/>
    <col min="6880" max="6884" width="15.7265625" style="136" customWidth="1"/>
    <col min="6885" max="6885" width="0.1796875" style="136" customWidth="1"/>
    <col min="6886" max="7133" width="9.1796875" style="136"/>
    <col min="7134" max="7134" width="5.453125" style="136" customWidth="1"/>
    <col min="7135" max="7135" width="52.453125" style="136" customWidth="1"/>
    <col min="7136" max="7140" width="15.7265625" style="136" customWidth="1"/>
    <col min="7141" max="7141" width="0.1796875" style="136" customWidth="1"/>
    <col min="7142" max="7389" width="9.1796875" style="136"/>
    <col min="7390" max="7390" width="5.453125" style="136" customWidth="1"/>
    <col min="7391" max="7391" width="52.453125" style="136" customWidth="1"/>
    <col min="7392" max="7396" width="15.7265625" style="136" customWidth="1"/>
    <col min="7397" max="7397" width="0.1796875" style="136" customWidth="1"/>
    <col min="7398" max="7645" width="9.1796875" style="136"/>
    <col min="7646" max="7646" width="5.453125" style="136" customWidth="1"/>
    <col min="7647" max="7647" width="52.453125" style="136" customWidth="1"/>
    <col min="7648" max="7652" width="15.7265625" style="136" customWidth="1"/>
    <col min="7653" max="7653" width="0.1796875" style="136" customWidth="1"/>
    <col min="7654" max="7901" width="9.1796875" style="136"/>
    <col min="7902" max="7902" width="5.453125" style="136" customWidth="1"/>
    <col min="7903" max="7903" width="52.453125" style="136" customWidth="1"/>
    <col min="7904" max="7908" width="15.7265625" style="136" customWidth="1"/>
    <col min="7909" max="7909" width="0.1796875" style="136" customWidth="1"/>
    <col min="7910" max="8157" width="9.1796875" style="136"/>
    <col min="8158" max="8158" width="5.453125" style="136" customWidth="1"/>
    <col min="8159" max="8159" width="52.453125" style="136" customWidth="1"/>
    <col min="8160" max="8164" width="15.7265625" style="136" customWidth="1"/>
    <col min="8165" max="8165" width="0.1796875" style="136" customWidth="1"/>
    <col min="8166" max="8413" width="9.1796875" style="136"/>
    <col min="8414" max="8414" width="5.453125" style="136" customWidth="1"/>
    <col min="8415" max="8415" width="52.453125" style="136" customWidth="1"/>
    <col min="8416" max="8420" width="15.7265625" style="136" customWidth="1"/>
    <col min="8421" max="8421" width="0.1796875" style="136" customWidth="1"/>
    <col min="8422" max="8669" width="9.1796875" style="136"/>
    <col min="8670" max="8670" width="5.453125" style="136" customWidth="1"/>
    <col min="8671" max="8671" width="52.453125" style="136" customWidth="1"/>
    <col min="8672" max="8676" width="15.7265625" style="136" customWidth="1"/>
    <col min="8677" max="8677" width="0.1796875" style="136" customWidth="1"/>
    <col min="8678" max="8925" width="9.1796875" style="136"/>
    <col min="8926" max="8926" width="5.453125" style="136" customWidth="1"/>
    <col min="8927" max="8927" width="52.453125" style="136" customWidth="1"/>
    <col min="8928" max="8932" width="15.7265625" style="136" customWidth="1"/>
    <col min="8933" max="8933" width="0.1796875" style="136" customWidth="1"/>
    <col min="8934" max="9181" width="9.1796875" style="136"/>
    <col min="9182" max="9182" width="5.453125" style="136" customWidth="1"/>
    <col min="9183" max="9183" width="52.453125" style="136" customWidth="1"/>
    <col min="9184" max="9188" width="15.7265625" style="136" customWidth="1"/>
    <col min="9189" max="9189" width="0.1796875" style="136" customWidth="1"/>
    <col min="9190" max="9437" width="9.1796875" style="136"/>
    <col min="9438" max="9438" width="5.453125" style="136" customWidth="1"/>
    <col min="9439" max="9439" width="52.453125" style="136" customWidth="1"/>
    <col min="9440" max="9444" width="15.7265625" style="136" customWidth="1"/>
    <col min="9445" max="9445" width="0.1796875" style="136" customWidth="1"/>
    <col min="9446" max="9693" width="9.1796875" style="136"/>
    <col min="9694" max="9694" width="5.453125" style="136" customWidth="1"/>
    <col min="9695" max="9695" width="52.453125" style="136" customWidth="1"/>
    <col min="9696" max="9700" width="15.7265625" style="136" customWidth="1"/>
    <col min="9701" max="9701" width="0.1796875" style="136" customWidth="1"/>
    <col min="9702" max="9949" width="9.1796875" style="136"/>
    <col min="9950" max="9950" width="5.453125" style="136" customWidth="1"/>
    <col min="9951" max="9951" width="52.453125" style="136" customWidth="1"/>
    <col min="9952" max="9956" width="15.7265625" style="136" customWidth="1"/>
    <col min="9957" max="9957" width="0.1796875" style="136" customWidth="1"/>
    <col min="9958" max="10205" width="9.1796875" style="136"/>
    <col min="10206" max="10206" width="5.453125" style="136" customWidth="1"/>
    <col min="10207" max="10207" width="52.453125" style="136" customWidth="1"/>
    <col min="10208" max="10212" width="15.7265625" style="136" customWidth="1"/>
    <col min="10213" max="10213" width="0.1796875" style="136" customWidth="1"/>
    <col min="10214" max="10461" width="9.1796875" style="136"/>
    <col min="10462" max="10462" width="5.453125" style="136" customWidth="1"/>
    <col min="10463" max="10463" width="52.453125" style="136" customWidth="1"/>
    <col min="10464" max="10468" width="15.7265625" style="136" customWidth="1"/>
    <col min="10469" max="10469" width="0.1796875" style="136" customWidth="1"/>
    <col min="10470" max="10717" width="9.1796875" style="136"/>
    <col min="10718" max="10718" width="5.453125" style="136" customWidth="1"/>
    <col min="10719" max="10719" width="52.453125" style="136" customWidth="1"/>
    <col min="10720" max="10724" width="15.7265625" style="136" customWidth="1"/>
    <col min="10725" max="10725" width="0.1796875" style="136" customWidth="1"/>
    <col min="10726" max="10973" width="9.1796875" style="136"/>
    <col min="10974" max="10974" width="5.453125" style="136" customWidth="1"/>
    <col min="10975" max="10975" width="52.453125" style="136" customWidth="1"/>
    <col min="10976" max="10980" width="15.7265625" style="136" customWidth="1"/>
    <col min="10981" max="10981" width="0.1796875" style="136" customWidth="1"/>
    <col min="10982" max="11229" width="9.1796875" style="136"/>
    <col min="11230" max="11230" width="5.453125" style="136" customWidth="1"/>
    <col min="11231" max="11231" width="52.453125" style="136" customWidth="1"/>
    <col min="11232" max="11236" width="15.7265625" style="136" customWidth="1"/>
    <col min="11237" max="11237" width="0.1796875" style="136" customWidth="1"/>
    <col min="11238" max="11485" width="9.1796875" style="136"/>
    <col min="11486" max="11486" width="5.453125" style="136" customWidth="1"/>
    <col min="11487" max="11487" width="52.453125" style="136" customWidth="1"/>
    <col min="11488" max="11492" width="15.7265625" style="136" customWidth="1"/>
    <col min="11493" max="11493" width="0.1796875" style="136" customWidth="1"/>
    <col min="11494" max="11741" width="9.1796875" style="136"/>
    <col min="11742" max="11742" width="5.453125" style="136" customWidth="1"/>
    <col min="11743" max="11743" width="52.453125" style="136" customWidth="1"/>
    <col min="11744" max="11748" width="15.7265625" style="136" customWidth="1"/>
    <col min="11749" max="11749" width="0.1796875" style="136" customWidth="1"/>
    <col min="11750" max="11997" width="9.1796875" style="136"/>
    <col min="11998" max="11998" width="5.453125" style="136" customWidth="1"/>
    <col min="11999" max="11999" width="52.453125" style="136" customWidth="1"/>
    <col min="12000" max="12004" width="15.7265625" style="136" customWidth="1"/>
    <col min="12005" max="12005" width="0.1796875" style="136" customWidth="1"/>
    <col min="12006" max="12253" width="9.1796875" style="136"/>
    <col min="12254" max="12254" width="5.453125" style="136" customWidth="1"/>
    <col min="12255" max="12255" width="52.453125" style="136" customWidth="1"/>
    <col min="12256" max="12260" width="15.7265625" style="136" customWidth="1"/>
    <col min="12261" max="12261" width="0.1796875" style="136" customWidth="1"/>
    <col min="12262" max="12509" width="9.1796875" style="136"/>
    <col min="12510" max="12510" width="5.453125" style="136" customWidth="1"/>
    <col min="12511" max="12511" width="52.453125" style="136" customWidth="1"/>
    <col min="12512" max="12516" width="15.7265625" style="136" customWidth="1"/>
    <col min="12517" max="12517" width="0.1796875" style="136" customWidth="1"/>
    <col min="12518" max="12765" width="9.1796875" style="136"/>
    <col min="12766" max="12766" width="5.453125" style="136" customWidth="1"/>
    <col min="12767" max="12767" width="52.453125" style="136" customWidth="1"/>
    <col min="12768" max="12772" width="15.7265625" style="136" customWidth="1"/>
    <col min="12773" max="12773" width="0.1796875" style="136" customWidth="1"/>
    <col min="12774" max="13021" width="9.1796875" style="136"/>
    <col min="13022" max="13022" width="5.453125" style="136" customWidth="1"/>
    <col min="13023" max="13023" width="52.453125" style="136" customWidth="1"/>
    <col min="13024" max="13028" width="15.7265625" style="136" customWidth="1"/>
    <col min="13029" max="13029" width="0.1796875" style="136" customWidth="1"/>
    <col min="13030" max="13277" width="9.1796875" style="136"/>
    <col min="13278" max="13278" width="5.453125" style="136" customWidth="1"/>
    <col min="13279" max="13279" width="52.453125" style="136" customWidth="1"/>
    <col min="13280" max="13284" width="15.7265625" style="136" customWidth="1"/>
    <col min="13285" max="13285" width="0.1796875" style="136" customWidth="1"/>
    <col min="13286" max="13533" width="9.1796875" style="136"/>
    <col min="13534" max="13534" width="5.453125" style="136" customWidth="1"/>
    <col min="13535" max="13535" width="52.453125" style="136" customWidth="1"/>
    <col min="13536" max="13540" width="15.7265625" style="136" customWidth="1"/>
    <col min="13541" max="13541" width="0.1796875" style="136" customWidth="1"/>
    <col min="13542" max="13789" width="9.1796875" style="136"/>
    <col min="13790" max="13790" width="5.453125" style="136" customWidth="1"/>
    <col min="13791" max="13791" width="52.453125" style="136" customWidth="1"/>
    <col min="13792" max="13796" width="15.7265625" style="136" customWidth="1"/>
    <col min="13797" max="13797" width="0.1796875" style="136" customWidth="1"/>
    <col min="13798" max="14045" width="9.1796875" style="136"/>
    <col min="14046" max="14046" width="5.453125" style="136" customWidth="1"/>
    <col min="14047" max="14047" width="52.453125" style="136" customWidth="1"/>
    <col min="14048" max="14052" width="15.7265625" style="136" customWidth="1"/>
    <col min="14053" max="14053" width="0.1796875" style="136" customWidth="1"/>
    <col min="14054" max="14301" width="9.1796875" style="136"/>
    <col min="14302" max="14302" width="5.453125" style="136" customWidth="1"/>
    <col min="14303" max="14303" width="52.453125" style="136" customWidth="1"/>
    <col min="14304" max="14308" width="15.7265625" style="136" customWidth="1"/>
    <col min="14309" max="14309" width="0.1796875" style="136" customWidth="1"/>
    <col min="14310" max="14557" width="9.1796875" style="136"/>
    <col min="14558" max="14558" width="5.453125" style="136" customWidth="1"/>
    <col min="14559" max="14559" width="52.453125" style="136" customWidth="1"/>
    <col min="14560" max="14564" width="15.7265625" style="136" customWidth="1"/>
    <col min="14565" max="14565" width="0.1796875" style="136" customWidth="1"/>
    <col min="14566" max="14813" width="9.1796875" style="136"/>
    <col min="14814" max="14814" width="5.453125" style="136" customWidth="1"/>
    <col min="14815" max="14815" width="52.453125" style="136" customWidth="1"/>
    <col min="14816" max="14820" width="15.7265625" style="136" customWidth="1"/>
    <col min="14821" max="14821" width="0.1796875" style="136" customWidth="1"/>
    <col min="14822" max="15069" width="9.1796875" style="136"/>
    <col min="15070" max="15070" width="5.453125" style="136" customWidth="1"/>
    <col min="15071" max="15071" width="52.453125" style="136" customWidth="1"/>
    <col min="15072" max="15076" width="15.7265625" style="136" customWidth="1"/>
    <col min="15077" max="15077" width="0.1796875" style="136" customWidth="1"/>
    <col min="15078" max="15325" width="9.1796875" style="136"/>
    <col min="15326" max="15326" width="5.453125" style="136" customWidth="1"/>
    <col min="15327" max="15327" width="52.453125" style="136" customWidth="1"/>
    <col min="15328" max="15332" width="15.7265625" style="136" customWidth="1"/>
    <col min="15333" max="15333" width="0.1796875" style="136" customWidth="1"/>
    <col min="15334" max="15581" width="9.1796875" style="136"/>
    <col min="15582" max="15582" width="5.453125" style="136" customWidth="1"/>
    <col min="15583" max="15583" width="52.453125" style="136" customWidth="1"/>
    <col min="15584" max="15588" width="15.7265625" style="136" customWidth="1"/>
    <col min="15589" max="15589" width="0.1796875" style="136" customWidth="1"/>
    <col min="15590" max="15837" width="9.1796875" style="136"/>
    <col min="15838" max="15838" width="5.453125" style="136" customWidth="1"/>
    <col min="15839" max="15839" width="52.453125" style="136" customWidth="1"/>
    <col min="15840" max="15844" width="15.7265625" style="136" customWidth="1"/>
    <col min="15845" max="15845" width="0.1796875" style="136" customWidth="1"/>
    <col min="15846" max="16093" width="9.1796875" style="136"/>
    <col min="16094" max="16094" width="5.453125" style="136" customWidth="1"/>
    <col min="16095" max="16095" width="52.453125" style="136" customWidth="1"/>
    <col min="16096" max="16100" width="15.7265625" style="136" customWidth="1"/>
    <col min="16101" max="16101" width="0.1796875" style="136" customWidth="1"/>
    <col min="16102" max="16384" width="9.1796875" style="136"/>
  </cols>
  <sheetData>
    <row r="1" spans="1:43" s="128" customFormat="1" ht="14.25" customHeight="1" x14ac:dyDescent="0.25">
      <c r="B1" s="129" t="s">
        <v>127</v>
      </c>
      <c r="D1" s="128" t="s">
        <v>282</v>
      </c>
      <c r="W1" s="130"/>
    </row>
    <row r="2" spans="1:43" s="128" customFormat="1" ht="13" x14ac:dyDescent="0.3">
      <c r="B2" s="131" t="s">
        <v>128</v>
      </c>
      <c r="C2" s="132"/>
      <c r="W2" s="130"/>
    </row>
    <row r="3" spans="1:43" s="128" customFormat="1" ht="17.25" customHeight="1" x14ac:dyDescent="0.3">
      <c r="B3" s="133" t="s">
        <v>129</v>
      </c>
      <c r="C3" s="132"/>
      <c r="W3" s="130"/>
    </row>
    <row r="4" spans="1:43" ht="15.5" x14ac:dyDescent="0.35">
      <c r="A4" s="134"/>
      <c r="B4" s="135"/>
      <c r="C4" s="134"/>
      <c r="D4" s="134"/>
      <c r="E4" s="134" t="s">
        <v>443</v>
      </c>
    </row>
    <row r="5" spans="1:43" ht="15" customHeight="1" x14ac:dyDescent="0.35">
      <c r="A5" s="138" t="s">
        <v>130</v>
      </c>
      <c r="B5" s="138"/>
      <c r="C5" s="139"/>
      <c r="D5" s="139"/>
      <c r="E5" s="139"/>
    </row>
    <row r="6" spans="1:43" ht="20" customHeight="1" x14ac:dyDescent="0.35">
      <c r="A6" s="134"/>
      <c r="B6" s="134"/>
      <c r="C6" s="134"/>
      <c r="D6" s="134"/>
      <c r="E6" s="134"/>
    </row>
    <row r="7" spans="1:43" ht="15" customHeight="1" x14ac:dyDescent="0.3">
      <c r="A7" s="518" t="s">
        <v>131</v>
      </c>
      <c r="B7" s="518"/>
      <c r="C7" s="518"/>
      <c r="D7" s="518"/>
      <c r="E7" s="518"/>
    </row>
    <row r="8" spans="1:43" ht="15" customHeight="1" thickBot="1" x14ac:dyDescent="0.4">
      <c r="A8" s="519" t="s">
        <v>326</v>
      </c>
      <c r="B8" s="519"/>
      <c r="C8" s="519"/>
      <c r="D8" s="519"/>
      <c r="E8" s="519"/>
    </row>
    <row r="9" spans="1:43" ht="12.75" customHeight="1" thickBot="1" x14ac:dyDescent="0.35">
      <c r="A9" s="526" t="s">
        <v>418</v>
      </c>
      <c r="B9" s="526"/>
      <c r="C9" s="526"/>
      <c r="D9" s="526"/>
      <c r="E9" s="526"/>
      <c r="I9" s="518"/>
      <c r="J9" s="518"/>
      <c r="W9" s="520" t="s">
        <v>132</v>
      </c>
      <c r="X9" s="521"/>
      <c r="Y9" s="521"/>
      <c r="Z9" s="521"/>
      <c r="AA9" s="521"/>
      <c r="AB9" s="521"/>
      <c r="AC9" s="521"/>
      <c r="AD9" s="521"/>
      <c r="AE9" s="521"/>
      <c r="AF9" s="521"/>
      <c r="AG9" s="521"/>
      <c r="AH9" s="521"/>
      <c r="AI9" s="521"/>
      <c r="AJ9" s="521"/>
      <c r="AK9" s="521"/>
      <c r="AL9" s="521"/>
      <c r="AM9" s="521"/>
      <c r="AN9" s="521"/>
      <c r="AO9" s="521"/>
      <c r="AP9" s="521"/>
      <c r="AQ9" s="521"/>
    </row>
    <row r="10" spans="1:43" ht="15" thickBot="1" x14ac:dyDescent="0.4">
      <c r="A10" s="140"/>
      <c r="B10" s="522" t="s">
        <v>133</v>
      </c>
      <c r="C10" s="522"/>
      <c r="D10" s="522"/>
      <c r="E10" s="140"/>
      <c r="H10" s="523" t="s">
        <v>134</v>
      </c>
      <c r="I10" s="524"/>
      <c r="J10" s="524"/>
      <c r="K10" s="524"/>
      <c r="L10" s="524"/>
      <c r="M10" s="524"/>
      <c r="N10" s="524"/>
      <c r="O10" s="524"/>
      <c r="P10" s="524"/>
      <c r="Q10" s="524"/>
      <c r="R10" s="524"/>
      <c r="S10" s="525"/>
      <c r="T10" s="523" t="s">
        <v>135</v>
      </c>
      <c r="U10" s="524"/>
      <c r="V10" s="524"/>
      <c r="W10" s="524"/>
      <c r="X10" s="524"/>
      <c r="Y10" s="524"/>
      <c r="Z10" s="524"/>
      <c r="AA10" s="524"/>
      <c r="AB10" s="524"/>
      <c r="AC10" s="524"/>
      <c r="AD10" s="524"/>
      <c r="AE10" s="525"/>
      <c r="AF10" s="523" t="s">
        <v>136</v>
      </c>
      <c r="AG10" s="524"/>
      <c r="AH10" s="524"/>
      <c r="AI10" s="524"/>
      <c r="AJ10" s="524"/>
      <c r="AK10" s="524"/>
      <c r="AL10" s="524"/>
      <c r="AM10" s="524"/>
      <c r="AN10" s="524"/>
      <c r="AO10" s="524"/>
      <c r="AP10" s="524"/>
      <c r="AQ10" s="525"/>
    </row>
    <row r="11" spans="1:43" ht="12.75" customHeight="1" thickBot="1" x14ac:dyDescent="0.4">
      <c r="A11" s="141"/>
      <c r="B11" s="141"/>
      <c r="C11" s="141"/>
      <c r="D11" s="141"/>
      <c r="E11" s="141"/>
      <c r="H11" s="142">
        <v>43101</v>
      </c>
      <c r="I11" s="142">
        <v>43132</v>
      </c>
      <c r="J11" s="142">
        <v>43160</v>
      </c>
      <c r="K11" s="142">
        <v>43191</v>
      </c>
      <c r="L11" s="142">
        <v>43221</v>
      </c>
      <c r="M11" s="142">
        <v>43252</v>
      </c>
      <c r="N11" s="142">
        <v>43282</v>
      </c>
      <c r="O11" s="142">
        <v>43313</v>
      </c>
      <c r="P11" s="142">
        <v>43344</v>
      </c>
      <c r="Q11" s="142">
        <v>43374</v>
      </c>
      <c r="R11" s="142">
        <v>43405</v>
      </c>
      <c r="S11" s="142">
        <v>43435</v>
      </c>
      <c r="T11" s="142">
        <v>43466</v>
      </c>
      <c r="U11" s="142">
        <v>43497</v>
      </c>
      <c r="V11" s="142">
        <v>43525</v>
      </c>
      <c r="W11" s="143">
        <v>43556</v>
      </c>
      <c r="X11" s="142">
        <v>43586</v>
      </c>
      <c r="Y11" s="142">
        <v>43617</v>
      </c>
      <c r="Z11" s="142">
        <v>43647</v>
      </c>
      <c r="AA11" s="142">
        <v>43678</v>
      </c>
      <c r="AB11" s="142">
        <v>43709</v>
      </c>
      <c r="AC11" s="142">
        <v>43739</v>
      </c>
      <c r="AD11" s="142">
        <v>43770</v>
      </c>
      <c r="AE11" s="142">
        <v>43800</v>
      </c>
      <c r="AF11" s="142">
        <v>43831</v>
      </c>
      <c r="AG11" s="142">
        <v>43862</v>
      </c>
      <c r="AH11" s="142">
        <v>43891</v>
      </c>
      <c r="AI11" s="142">
        <v>43922</v>
      </c>
      <c r="AJ11" s="142">
        <v>43952</v>
      </c>
      <c r="AK11" s="142">
        <v>43983</v>
      </c>
      <c r="AL11" s="142">
        <v>44013</v>
      </c>
      <c r="AM11" s="142">
        <v>44044</v>
      </c>
      <c r="AN11" s="142">
        <v>44075</v>
      </c>
      <c r="AO11" s="142">
        <v>44105</v>
      </c>
      <c r="AP11" s="142">
        <v>44136</v>
      </c>
      <c r="AQ11" s="142">
        <v>44166</v>
      </c>
    </row>
    <row r="12" spans="1:43" ht="12.75" customHeight="1" x14ac:dyDescent="0.35">
      <c r="A12" s="527" t="s">
        <v>137</v>
      </c>
      <c r="B12" s="530" t="s">
        <v>138</v>
      </c>
      <c r="C12" s="533"/>
      <c r="D12" s="534"/>
      <c r="E12" s="534"/>
      <c r="H12" s="144" t="s">
        <v>139</v>
      </c>
      <c r="I12" s="144" t="s">
        <v>140</v>
      </c>
      <c r="J12" s="144" t="s">
        <v>141</v>
      </c>
      <c r="K12" s="144" t="s">
        <v>142</v>
      </c>
      <c r="L12" s="144" t="s">
        <v>143</v>
      </c>
      <c r="M12" s="144" t="s">
        <v>144</v>
      </c>
      <c r="N12" s="144" t="s">
        <v>145</v>
      </c>
      <c r="O12" s="144" t="s">
        <v>146</v>
      </c>
      <c r="P12" s="144" t="s">
        <v>147</v>
      </c>
      <c r="Q12" s="144" t="s">
        <v>148</v>
      </c>
      <c r="R12" s="144" t="s">
        <v>149</v>
      </c>
      <c r="S12" s="144" t="s">
        <v>150</v>
      </c>
      <c r="T12" s="144" t="s">
        <v>151</v>
      </c>
      <c r="U12" s="144" t="s">
        <v>152</v>
      </c>
      <c r="V12" s="144" t="s">
        <v>153</v>
      </c>
      <c r="W12" s="145" t="s">
        <v>154</v>
      </c>
      <c r="X12" s="144" t="s">
        <v>155</v>
      </c>
      <c r="Y12" s="144" t="s">
        <v>156</v>
      </c>
      <c r="Z12" s="144" t="s">
        <v>157</v>
      </c>
      <c r="AA12" s="144" t="s">
        <v>158</v>
      </c>
      <c r="AB12" s="144" t="s">
        <v>159</v>
      </c>
      <c r="AC12" s="144" t="s">
        <v>160</v>
      </c>
      <c r="AD12" s="144" t="s">
        <v>161</v>
      </c>
      <c r="AE12" s="144" t="s">
        <v>162</v>
      </c>
      <c r="AF12" s="144" t="s">
        <v>163</v>
      </c>
      <c r="AG12" s="144" t="s">
        <v>164</v>
      </c>
      <c r="AH12" s="144" t="s">
        <v>165</v>
      </c>
      <c r="AI12" s="144" t="s">
        <v>166</v>
      </c>
      <c r="AJ12" s="144" t="s">
        <v>167</v>
      </c>
      <c r="AK12" s="144" t="s">
        <v>168</v>
      </c>
      <c r="AL12" s="144" t="s">
        <v>169</v>
      </c>
      <c r="AM12" s="144" t="s">
        <v>170</v>
      </c>
      <c r="AN12" s="144" t="s">
        <v>171</v>
      </c>
      <c r="AO12" s="144" t="s">
        <v>172</v>
      </c>
      <c r="AP12" s="144" t="s">
        <v>173</v>
      </c>
      <c r="AQ12" s="144" t="s">
        <v>174</v>
      </c>
    </row>
    <row r="13" spans="1:43" x14ac:dyDescent="0.25">
      <c r="A13" s="528"/>
      <c r="B13" s="531"/>
      <c r="C13" s="535"/>
      <c r="D13" s="536"/>
      <c r="E13" s="536"/>
    </row>
    <row r="14" spans="1:43" ht="12.75" customHeight="1" x14ac:dyDescent="0.25">
      <c r="A14" s="528"/>
      <c r="B14" s="531"/>
      <c r="C14" s="537" t="s">
        <v>175</v>
      </c>
      <c r="D14" s="539" t="s">
        <v>176</v>
      </c>
      <c r="E14" s="537" t="s">
        <v>177</v>
      </c>
    </row>
    <row r="15" spans="1:43" ht="12.75" customHeight="1" x14ac:dyDescent="0.25">
      <c r="A15" s="528"/>
      <c r="B15" s="531"/>
      <c r="C15" s="538"/>
      <c r="D15" s="540"/>
      <c r="E15" s="541"/>
    </row>
    <row r="16" spans="1:43" s="147" customFormat="1" ht="13.5" thickBot="1" x14ac:dyDescent="0.35">
      <c r="A16" s="529"/>
      <c r="B16" s="532"/>
      <c r="C16" s="146" t="s">
        <v>178</v>
      </c>
      <c r="D16" s="146" t="s">
        <v>179</v>
      </c>
      <c r="E16" s="146" t="s">
        <v>178</v>
      </c>
      <c r="W16" s="148"/>
    </row>
    <row r="17" spans="1:44" ht="13.5" thickTop="1" thickBot="1" x14ac:dyDescent="0.3">
      <c r="A17" s="149">
        <v>1</v>
      </c>
      <c r="B17" s="150">
        <v>2</v>
      </c>
      <c r="C17" s="150">
        <v>3</v>
      </c>
      <c r="D17" s="150">
        <v>4</v>
      </c>
      <c r="E17" s="150">
        <v>5</v>
      </c>
    </row>
    <row r="18" spans="1:44" ht="13.5" thickTop="1" x14ac:dyDescent="0.3">
      <c r="A18" s="151" t="s">
        <v>180</v>
      </c>
      <c r="B18" s="152"/>
      <c r="C18" s="152"/>
      <c r="D18" s="152"/>
      <c r="E18" s="152"/>
    </row>
    <row r="19" spans="1:44" ht="13" x14ac:dyDescent="0.3">
      <c r="A19" s="153" t="s">
        <v>181</v>
      </c>
      <c r="B19" s="154"/>
      <c r="C19" s="154"/>
      <c r="D19" s="154"/>
      <c r="E19" s="154"/>
    </row>
    <row r="20" spans="1:44" ht="13.5" thickBot="1" x14ac:dyDescent="0.35">
      <c r="A20" s="153" t="s">
        <v>182</v>
      </c>
      <c r="B20" s="154"/>
      <c r="C20" s="154"/>
      <c r="D20" s="154"/>
      <c r="E20" s="154"/>
    </row>
    <row r="21" spans="1:44" x14ac:dyDescent="0.25">
      <c r="A21" s="155" t="s">
        <v>183</v>
      </c>
      <c r="B21" s="156" t="s">
        <v>184</v>
      </c>
      <c r="C21" s="157">
        <f>('[1]CAP. 1'!E18)</f>
        <v>0</v>
      </c>
      <c r="D21" s="158">
        <f>C21*0.19</f>
        <v>0</v>
      </c>
      <c r="E21" s="158">
        <f>D21+C21</f>
        <v>0</v>
      </c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60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61"/>
    </row>
    <row r="22" spans="1:44" ht="12.75" customHeight="1" x14ac:dyDescent="0.25">
      <c r="A22" s="162" t="s">
        <v>185</v>
      </c>
      <c r="B22" s="159" t="s">
        <v>186</v>
      </c>
      <c r="C22" s="366">
        <v>12097.84</v>
      </c>
      <c r="D22" s="164">
        <f>C22*0.19</f>
        <v>2298.5896000000002</v>
      </c>
      <c r="E22" s="164">
        <f>D22+C22</f>
        <v>14396.429599999999</v>
      </c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65">
        <v>32500</v>
      </c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61"/>
    </row>
    <row r="23" spans="1:44" ht="27" customHeight="1" x14ac:dyDescent="0.35">
      <c r="A23" s="166" t="s">
        <v>187</v>
      </c>
      <c r="B23" s="167" t="s">
        <v>188</v>
      </c>
      <c r="C23" s="367">
        <v>33106.42</v>
      </c>
      <c r="D23" s="164">
        <f>C23*0.19</f>
        <v>6290.2197999999999</v>
      </c>
      <c r="E23" s="168">
        <f>ROUND(D23+C23,2)</f>
        <v>39396.639999999999</v>
      </c>
      <c r="F23" s="16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60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>
        <v>32000</v>
      </c>
      <c r="AK23" s="159"/>
      <c r="AL23" s="159"/>
      <c r="AM23" s="159"/>
      <c r="AN23" s="159"/>
      <c r="AO23" s="159"/>
      <c r="AP23" s="159"/>
      <c r="AQ23" s="159"/>
      <c r="AR23" s="161"/>
    </row>
    <row r="24" spans="1:44" ht="14.5" x14ac:dyDescent="0.35">
      <c r="A24" s="166" t="s">
        <v>189</v>
      </c>
      <c r="B24" s="170" t="s">
        <v>190</v>
      </c>
      <c r="C24" s="367">
        <v>12000</v>
      </c>
      <c r="D24" s="164">
        <f>C24*0.19</f>
        <v>2280</v>
      </c>
      <c r="E24" s="168">
        <f>D24+C24</f>
        <v>14280</v>
      </c>
      <c r="F24" s="16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60"/>
      <c r="X24" s="159">
        <v>45000</v>
      </c>
      <c r="Y24" s="159">
        <v>70000</v>
      </c>
      <c r="Z24" s="159">
        <v>60000</v>
      </c>
      <c r="AA24" s="159">
        <v>45000</v>
      </c>
      <c r="AB24" s="159"/>
      <c r="AC24" s="159"/>
      <c r="AD24" s="159"/>
      <c r="AE24" s="159"/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61"/>
    </row>
    <row r="25" spans="1:44" ht="14.25" customHeight="1" thickBot="1" x14ac:dyDescent="0.4">
      <c r="A25" s="171"/>
      <c r="B25" s="172" t="s">
        <v>191</v>
      </c>
      <c r="C25" s="173">
        <f>SUM(C21:C24)</f>
        <v>57204.259999999995</v>
      </c>
      <c r="D25" s="173">
        <f>SUM(D21:D24)</f>
        <v>10868.8094</v>
      </c>
      <c r="E25" s="173">
        <f>SUM(E21:E24)</f>
        <v>68073.069600000003</v>
      </c>
      <c r="F25" s="16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60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61"/>
    </row>
    <row r="26" spans="1:44" ht="14.25" customHeight="1" x14ac:dyDescent="0.35">
      <c r="A26" s="153" t="s">
        <v>192</v>
      </c>
      <c r="B26" s="154"/>
      <c r="C26" s="174"/>
      <c r="D26" s="174"/>
      <c r="E26" s="174"/>
      <c r="F26" s="16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60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61"/>
    </row>
    <row r="27" spans="1:44" ht="15" thickBot="1" x14ac:dyDescent="0.4">
      <c r="A27" s="153" t="s">
        <v>193</v>
      </c>
      <c r="B27" s="154"/>
      <c r="C27" s="174"/>
      <c r="D27" s="174"/>
      <c r="E27" s="174"/>
      <c r="F27" s="16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60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61"/>
    </row>
    <row r="28" spans="1:44" ht="14.5" x14ac:dyDescent="0.35">
      <c r="A28" s="155" t="s">
        <v>194</v>
      </c>
      <c r="B28" s="175" t="s">
        <v>195</v>
      </c>
      <c r="C28" s="176">
        <v>8500</v>
      </c>
      <c r="D28" s="177">
        <f>ROUND(C28*0.19,2)+0.01</f>
        <v>1615.01</v>
      </c>
      <c r="E28" s="158">
        <f>ROUND(D28+C28,2)</f>
        <v>10115.01</v>
      </c>
      <c r="F28" s="16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60"/>
      <c r="X28" s="159"/>
      <c r="Y28" s="159"/>
      <c r="Z28" s="159">
        <v>35000</v>
      </c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61"/>
    </row>
    <row r="29" spans="1:44" ht="15.75" customHeight="1" thickBot="1" x14ac:dyDescent="0.4">
      <c r="A29" s="178"/>
      <c r="B29" s="172" t="s">
        <v>196</v>
      </c>
      <c r="C29" s="173">
        <f>C28</f>
        <v>8500</v>
      </c>
      <c r="D29" s="173">
        <f>D28</f>
        <v>1615.01</v>
      </c>
      <c r="E29" s="173">
        <f>E28</f>
        <v>10115.01</v>
      </c>
      <c r="F29" s="16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60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61"/>
    </row>
    <row r="30" spans="1:44" ht="15.75" customHeight="1" x14ac:dyDescent="0.35">
      <c r="A30" s="153" t="s">
        <v>197</v>
      </c>
      <c r="B30" s="154"/>
      <c r="C30" s="174"/>
      <c r="D30" s="174"/>
      <c r="E30" s="174"/>
      <c r="F30" s="16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60"/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61"/>
    </row>
    <row r="31" spans="1:44" s="180" customFormat="1" ht="13.5" customHeight="1" thickBot="1" x14ac:dyDescent="0.35">
      <c r="A31" s="153" t="s">
        <v>198</v>
      </c>
      <c r="B31" s="154"/>
      <c r="C31" s="174"/>
      <c r="D31" s="174"/>
      <c r="E31" s="174"/>
      <c r="F31" s="179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60"/>
      <c r="X31" s="181"/>
      <c r="Y31" s="181"/>
      <c r="Z31" s="181"/>
      <c r="AA31" s="181"/>
      <c r="AB31" s="181"/>
      <c r="AC31" s="181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  <c r="AN31" s="181"/>
      <c r="AO31" s="181"/>
      <c r="AP31" s="181"/>
      <c r="AQ31" s="181"/>
      <c r="AR31" s="161"/>
    </row>
    <row r="32" spans="1:44" s="180" customFormat="1" ht="13" x14ac:dyDescent="0.3">
      <c r="A32" s="182" t="s">
        <v>199</v>
      </c>
      <c r="B32" s="183" t="s">
        <v>200</v>
      </c>
      <c r="C32" s="184">
        <f>C33+C34+C35</f>
        <v>21000</v>
      </c>
      <c r="D32" s="185">
        <f>ROUND(C32*0.19,2)</f>
        <v>3990</v>
      </c>
      <c r="E32" s="186">
        <f>D32+C32</f>
        <v>24990</v>
      </c>
      <c r="F32" s="179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60"/>
      <c r="X32" s="181"/>
      <c r="Y32" s="181"/>
      <c r="Z32" s="181"/>
      <c r="AA32" s="181"/>
      <c r="AB32" s="181"/>
      <c r="AC32" s="181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  <c r="AN32" s="181"/>
      <c r="AO32" s="181"/>
      <c r="AP32" s="181"/>
      <c r="AQ32" s="181"/>
      <c r="AR32" s="161"/>
    </row>
    <row r="33" spans="1:44" s="180" customFormat="1" ht="13" x14ac:dyDescent="0.3">
      <c r="A33" s="187"/>
      <c r="B33" s="188" t="s">
        <v>201</v>
      </c>
      <c r="C33" s="189">
        <v>21000</v>
      </c>
      <c r="D33" s="164">
        <f>ROUND(C33*0.19,2)</f>
        <v>3990</v>
      </c>
      <c r="E33" s="190">
        <f>ROUND(D33+C33,2)</f>
        <v>24990</v>
      </c>
      <c r="F33" s="179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1">
        <v>65000</v>
      </c>
      <c r="U33" s="181"/>
      <c r="V33" s="181"/>
      <c r="W33" s="160"/>
      <c r="X33" s="181"/>
      <c r="Y33" s="181"/>
      <c r="Z33" s="181"/>
      <c r="AA33" s="181"/>
      <c r="AB33" s="181"/>
      <c r="AC33" s="181"/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  <c r="AN33" s="181"/>
      <c r="AO33" s="181"/>
      <c r="AP33" s="181"/>
      <c r="AQ33" s="181"/>
      <c r="AR33" s="161"/>
    </row>
    <row r="34" spans="1:44" s="180" customFormat="1" ht="13" x14ac:dyDescent="0.3">
      <c r="A34" s="187"/>
      <c r="B34" s="188" t="s">
        <v>202</v>
      </c>
      <c r="C34" s="189">
        <v>0</v>
      </c>
      <c r="D34" s="164">
        <f>C34*0.19</f>
        <v>0</v>
      </c>
      <c r="E34" s="190">
        <f>D34+C34</f>
        <v>0</v>
      </c>
      <c r="F34" s="179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>
        <v>0</v>
      </c>
      <c r="U34" s="181"/>
      <c r="V34" s="181"/>
      <c r="W34" s="160"/>
      <c r="X34" s="181"/>
      <c r="Y34" s="181"/>
      <c r="Z34" s="181"/>
      <c r="AA34" s="181"/>
      <c r="AB34" s="181"/>
      <c r="AC34" s="181"/>
      <c r="AD34" s="181"/>
      <c r="AE34" s="181"/>
      <c r="AF34" s="181"/>
      <c r="AG34" s="181"/>
      <c r="AH34" s="181"/>
      <c r="AI34" s="181"/>
      <c r="AJ34" s="181"/>
      <c r="AK34" s="181"/>
      <c r="AL34" s="181"/>
      <c r="AM34" s="181"/>
      <c r="AN34" s="181"/>
      <c r="AO34" s="181"/>
      <c r="AP34" s="181"/>
      <c r="AQ34" s="181"/>
      <c r="AR34" s="161"/>
    </row>
    <row r="35" spans="1:44" s="180" customFormat="1" ht="13" x14ac:dyDescent="0.3">
      <c r="A35" s="187"/>
      <c r="B35" s="191" t="s">
        <v>203</v>
      </c>
      <c r="C35" s="189">
        <v>0</v>
      </c>
      <c r="D35" s="164">
        <f>C35*0.19</f>
        <v>0</v>
      </c>
      <c r="E35" s="190">
        <f>D35+C35</f>
        <v>0</v>
      </c>
      <c r="F35" s="179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181">
        <v>8500</v>
      </c>
      <c r="U35" s="181"/>
      <c r="V35" s="181"/>
      <c r="W35" s="160"/>
      <c r="X35" s="181"/>
      <c r="Y35" s="181"/>
      <c r="Z35" s="181"/>
      <c r="AA35" s="181"/>
      <c r="AB35" s="181"/>
      <c r="AC35" s="181"/>
      <c r="AD35" s="181"/>
      <c r="AE35" s="181"/>
      <c r="AF35" s="181"/>
      <c r="AG35" s="181"/>
      <c r="AH35" s="181"/>
      <c r="AI35" s="181"/>
      <c r="AJ35" s="181"/>
      <c r="AK35" s="181"/>
      <c r="AL35" s="181"/>
      <c r="AM35" s="181"/>
      <c r="AN35" s="181"/>
      <c r="AO35" s="181"/>
      <c r="AP35" s="181"/>
      <c r="AQ35" s="181"/>
      <c r="AR35" s="161"/>
    </row>
    <row r="36" spans="1:44" s="180" customFormat="1" ht="26" x14ac:dyDescent="0.25">
      <c r="A36" s="192" t="s">
        <v>204</v>
      </c>
      <c r="B36" s="193" t="s">
        <v>205</v>
      </c>
      <c r="C36" s="194">
        <v>12000</v>
      </c>
      <c r="D36" s="194">
        <v>0</v>
      </c>
      <c r="E36" s="195">
        <f>ROUND(D36+C36,2)</f>
        <v>12000</v>
      </c>
      <c r="F36" s="179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>
        <v>25000</v>
      </c>
      <c r="W36" s="160"/>
      <c r="X36" s="181"/>
      <c r="Y36" s="181"/>
      <c r="Z36" s="181"/>
      <c r="AA36" s="181"/>
      <c r="AB36" s="181"/>
      <c r="AC36" s="181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  <c r="AN36" s="181"/>
      <c r="AO36" s="181"/>
      <c r="AP36" s="181"/>
      <c r="AQ36" s="181"/>
      <c r="AR36" s="161"/>
    </row>
    <row r="37" spans="1:44" ht="14.25" customHeight="1" x14ac:dyDescent="0.25">
      <c r="A37" s="196" t="s">
        <v>206</v>
      </c>
      <c r="B37" s="197" t="s">
        <v>207</v>
      </c>
      <c r="C37" s="194">
        <v>0</v>
      </c>
      <c r="D37" s="194">
        <f>C37*0.19</f>
        <v>0</v>
      </c>
      <c r="E37" s="195">
        <f>D37+C37</f>
        <v>0</v>
      </c>
      <c r="F37" s="198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60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N37" s="159"/>
      <c r="AO37" s="159"/>
      <c r="AP37" s="159">
        <v>120000</v>
      </c>
      <c r="AQ37" s="159"/>
      <c r="AR37" s="161"/>
    </row>
    <row r="38" spans="1:44" ht="13" x14ac:dyDescent="0.25">
      <c r="A38" s="196" t="s">
        <v>208</v>
      </c>
      <c r="B38" s="199" t="s">
        <v>209</v>
      </c>
      <c r="C38" s="194">
        <v>5000</v>
      </c>
      <c r="D38" s="200">
        <f>C38*0.19</f>
        <v>950</v>
      </c>
      <c r="E38" s="195">
        <f>ROUND(D38+C38,2)</f>
        <v>5950</v>
      </c>
      <c r="F38" s="198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60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N38" s="159"/>
      <c r="AO38" s="159"/>
      <c r="AP38" s="159"/>
      <c r="AQ38" s="159">
        <v>5000</v>
      </c>
      <c r="AR38" s="161"/>
    </row>
    <row r="39" spans="1:44" ht="13" x14ac:dyDescent="0.3">
      <c r="A39" s="201" t="s">
        <v>210</v>
      </c>
      <c r="B39" s="202" t="s">
        <v>211</v>
      </c>
      <c r="C39" s="203">
        <f>C40+C41+C42+C43+C44+C45</f>
        <v>124500</v>
      </c>
      <c r="D39" s="203">
        <f>ROUND(C39*0.19,2)</f>
        <v>23655</v>
      </c>
      <c r="E39" s="204">
        <f>ROUND(D39+C39,2)</f>
        <v>148155</v>
      </c>
      <c r="F39" s="198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60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61"/>
    </row>
    <row r="40" spans="1:44" ht="13" x14ac:dyDescent="0.3">
      <c r="A40" s="201"/>
      <c r="B40" s="205" t="s">
        <v>212</v>
      </c>
      <c r="C40" s="163">
        <v>1500</v>
      </c>
      <c r="D40" s="163">
        <f t="shared" ref="D40:D51" si="0">C40*0.19</f>
        <v>285</v>
      </c>
      <c r="E40" s="168">
        <f>D40+C40</f>
        <v>1785</v>
      </c>
      <c r="F40" s="198"/>
      <c r="H40" s="159">
        <v>3500</v>
      </c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60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61"/>
    </row>
    <row r="41" spans="1:44" ht="13" x14ac:dyDescent="0.3">
      <c r="A41" s="201"/>
      <c r="B41" s="206" t="s">
        <v>213</v>
      </c>
      <c r="C41" s="163">
        <v>0</v>
      </c>
      <c r="D41" s="163">
        <f t="shared" si="0"/>
        <v>0</v>
      </c>
      <c r="E41" s="168">
        <f>D41+C41</f>
        <v>0</v>
      </c>
      <c r="F41" s="198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60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61"/>
    </row>
    <row r="42" spans="1:44" ht="12.75" customHeight="1" x14ac:dyDescent="0.25">
      <c r="A42" s="166"/>
      <c r="B42" s="170" t="s">
        <v>214</v>
      </c>
      <c r="C42" s="163">
        <v>90000</v>
      </c>
      <c r="D42" s="163">
        <f t="shared" si="0"/>
        <v>17100</v>
      </c>
      <c r="E42" s="168">
        <f>ROUND(D42+C42,2)</f>
        <v>107100</v>
      </c>
      <c r="F42" s="198"/>
      <c r="H42" s="159"/>
      <c r="I42" s="159">
        <v>75000</v>
      </c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60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61"/>
    </row>
    <row r="43" spans="1:44" ht="30" customHeight="1" x14ac:dyDescent="0.35">
      <c r="A43" s="166"/>
      <c r="B43" s="170" t="s">
        <v>215</v>
      </c>
      <c r="C43" s="163">
        <v>5500</v>
      </c>
      <c r="D43" s="163">
        <f t="shared" si="0"/>
        <v>1045</v>
      </c>
      <c r="E43" s="168">
        <f>D43+C43</f>
        <v>6545</v>
      </c>
      <c r="F43" s="169"/>
      <c r="H43" s="159"/>
      <c r="I43" s="159"/>
      <c r="J43" s="159"/>
      <c r="K43" s="159">
        <v>6500</v>
      </c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60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61"/>
    </row>
    <row r="44" spans="1:44" ht="26.25" customHeight="1" x14ac:dyDescent="0.35">
      <c r="A44" s="166"/>
      <c r="B44" s="170" t="s">
        <v>216</v>
      </c>
      <c r="C44" s="163">
        <v>5500</v>
      </c>
      <c r="D44" s="163">
        <f t="shared" si="0"/>
        <v>1045</v>
      </c>
      <c r="E44" s="168">
        <f>D44+C44</f>
        <v>6545</v>
      </c>
      <c r="F44" s="169"/>
      <c r="H44" s="159"/>
      <c r="I44" s="159"/>
      <c r="J44" s="159"/>
      <c r="K44" s="159"/>
      <c r="L44" s="159">
        <v>6500</v>
      </c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60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61"/>
    </row>
    <row r="45" spans="1:44" ht="14.5" x14ac:dyDescent="0.35">
      <c r="A45" s="166"/>
      <c r="B45" s="170" t="s">
        <v>217</v>
      </c>
      <c r="C45" s="163">
        <v>22000</v>
      </c>
      <c r="D45" s="163">
        <f t="shared" si="0"/>
        <v>4180</v>
      </c>
      <c r="E45" s="168">
        <f>D45+C45</f>
        <v>26180</v>
      </c>
      <c r="F45" s="169"/>
      <c r="H45" s="159"/>
      <c r="I45" s="159"/>
      <c r="J45" s="159"/>
      <c r="K45" s="159"/>
      <c r="L45" s="159">
        <v>104000</v>
      </c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60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61"/>
    </row>
    <row r="46" spans="1:44" ht="14.5" x14ac:dyDescent="0.35">
      <c r="A46" s="192" t="s">
        <v>218</v>
      </c>
      <c r="B46" s="193" t="s">
        <v>219</v>
      </c>
      <c r="C46" s="194">
        <v>12000</v>
      </c>
      <c r="D46" s="194">
        <f t="shared" si="0"/>
        <v>2280</v>
      </c>
      <c r="E46" s="195">
        <f>D46+C46</f>
        <v>14280</v>
      </c>
      <c r="F46" s="169"/>
      <c r="H46" s="159">
        <v>15000</v>
      </c>
      <c r="I46" s="159"/>
      <c r="J46" s="159">
        <v>10000</v>
      </c>
      <c r="K46" s="159"/>
      <c r="L46" s="159"/>
      <c r="M46" s="159"/>
      <c r="N46" s="159"/>
      <c r="O46" s="159"/>
      <c r="P46" s="159"/>
      <c r="Q46" s="159"/>
      <c r="R46" s="159">
        <v>95000</v>
      </c>
      <c r="S46" s="159"/>
      <c r="T46" s="159"/>
      <c r="U46" s="159"/>
      <c r="V46" s="159"/>
      <c r="W46" s="160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61"/>
    </row>
    <row r="47" spans="1:44" ht="14.5" x14ac:dyDescent="0.35">
      <c r="A47" s="201" t="s">
        <v>220</v>
      </c>
      <c r="B47" s="202" t="s">
        <v>221</v>
      </c>
      <c r="C47" s="203">
        <f>ROUND(C48+C51,2)</f>
        <v>125000</v>
      </c>
      <c r="D47" s="203">
        <f t="shared" si="0"/>
        <v>23750</v>
      </c>
      <c r="E47" s="203">
        <f>ROUND(E48+E51,2)</f>
        <v>148750</v>
      </c>
      <c r="F47" s="16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61"/>
    </row>
    <row r="48" spans="1:44" ht="15" customHeight="1" x14ac:dyDescent="0.35">
      <c r="A48" s="201"/>
      <c r="B48" s="207" t="s">
        <v>222</v>
      </c>
      <c r="C48" s="164">
        <f>C49+C50</f>
        <v>105000</v>
      </c>
      <c r="D48" s="163">
        <f t="shared" si="0"/>
        <v>19950</v>
      </c>
      <c r="E48" s="190">
        <f>D48+C48</f>
        <v>124950</v>
      </c>
      <c r="F48" s="208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60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61"/>
    </row>
    <row r="49" spans="1:44" ht="14.5" x14ac:dyDescent="0.35">
      <c r="A49" s="201"/>
      <c r="B49" s="207" t="s">
        <v>223</v>
      </c>
      <c r="C49" s="164">
        <v>65000</v>
      </c>
      <c r="D49" s="163">
        <f t="shared" si="0"/>
        <v>12350</v>
      </c>
      <c r="E49" s="190">
        <f>D49+C49</f>
        <v>77350</v>
      </c>
      <c r="F49" s="208"/>
      <c r="H49" s="159"/>
      <c r="I49" s="159"/>
      <c r="J49" s="159"/>
      <c r="K49" s="159"/>
      <c r="L49" s="159">
        <v>65000</v>
      </c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60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61"/>
    </row>
    <row r="50" spans="1:44" ht="14.5" x14ac:dyDescent="0.35">
      <c r="A50" s="201"/>
      <c r="B50" s="207" t="s">
        <v>224</v>
      </c>
      <c r="C50" s="164">
        <v>40000</v>
      </c>
      <c r="D50" s="163">
        <f t="shared" si="0"/>
        <v>7600</v>
      </c>
      <c r="E50" s="190">
        <f>D50+C50</f>
        <v>47600</v>
      </c>
      <c r="F50" s="208"/>
      <c r="H50" s="159"/>
      <c r="I50" s="159"/>
      <c r="J50" s="159"/>
      <c r="K50" s="159"/>
      <c r="L50" s="159"/>
      <c r="M50" s="159"/>
      <c r="N50" s="159"/>
      <c r="O50" s="159">
        <v>4500</v>
      </c>
      <c r="P50" s="159">
        <v>4500</v>
      </c>
      <c r="Q50" s="159">
        <v>4500</v>
      </c>
      <c r="R50" s="159">
        <v>4500</v>
      </c>
      <c r="S50" s="159">
        <v>4500</v>
      </c>
      <c r="T50" s="159">
        <v>4500</v>
      </c>
      <c r="U50" s="159">
        <v>4500</v>
      </c>
      <c r="V50" s="159">
        <v>4500</v>
      </c>
      <c r="W50" s="159">
        <v>4500</v>
      </c>
      <c r="X50" s="159">
        <v>4500</v>
      </c>
      <c r="Y50" s="159">
        <v>4500</v>
      </c>
      <c r="Z50" s="159">
        <v>4500</v>
      </c>
      <c r="AA50" s="159">
        <v>4500</v>
      </c>
      <c r="AB50" s="159">
        <v>4500</v>
      </c>
      <c r="AC50" s="159">
        <v>4500</v>
      </c>
      <c r="AD50" s="159">
        <v>4500</v>
      </c>
      <c r="AE50" s="159">
        <v>4500</v>
      </c>
      <c r="AF50" s="159">
        <v>4500</v>
      </c>
      <c r="AG50" s="159">
        <v>4500</v>
      </c>
      <c r="AH50" s="159">
        <v>4500</v>
      </c>
      <c r="AI50" s="159">
        <v>4500</v>
      </c>
      <c r="AJ50" s="159">
        <v>4500</v>
      </c>
      <c r="AK50" s="159">
        <v>4500</v>
      </c>
      <c r="AL50" s="159">
        <v>4500</v>
      </c>
      <c r="AM50" s="159">
        <v>4500</v>
      </c>
      <c r="AN50" s="159">
        <v>4500</v>
      </c>
      <c r="AO50" s="159">
        <v>4500</v>
      </c>
      <c r="AP50" s="159">
        <v>4500</v>
      </c>
      <c r="AQ50" s="159">
        <v>4000</v>
      </c>
      <c r="AR50" s="161"/>
    </row>
    <row r="51" spans="1:44" ht="14.5" x14ac:dyDescent="0.35">
      <c r="A51" s="201"/>
      <c r="B51" s="207" t="s">
        <v>225</v>
      </c>
      <c r="C51" s="164">
        <v>20000</v>
      </c>
      <c r="D51" s="163">
        <f t="shared" si="0"/>
        <v>3800</v>
      </c>
      <c r="E51" s="190">
        <f>D51+C51</f>
        <v>23800</v>
      </c>
      <c r="F51" s="208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65">
        <v>2000</v>
      </c>
      <c r="X51" s="209">
        <v>2000</v>
      </c>
      <c r="Y51" s="165">
        <v>2000</v>
      </c>
      <c r="Z51" s="209">
        <v>2000</v>
      </c>
      <c r="AA51" s="165">
        <v>2000</v>
      </c>
      <c r="AB51" s="209">
        <v>2000</v>
      </c>
      <c r="AC51" s="165">
        <v>2000</v>
      </c>
      <c r="AD51" s="209">
        <v>2000</v>
      </c>
      <c r="AE51" s="165">
        <v>2000</v>
      </c>
      <c r="AF51" s="209">
        <v>2000</v>
      </c>
      <c r="AG51" s="165">
        <v>2000</v>
      </c>
      <c r="AH51" s="209">
        <v>2000</v>
      </c>
      <c r="AI51" s="165">
        <v>2000</v>
      </c>
      <c r="AJ51" s="209">
        <v>2000</v>
      </c>
      <c r="AK51" s="165">
        <v>2000</v>
      </c>
      <c r="AL51" s="209">
        <v>2000</v>
      </c>
      <c r="AM51" s="165">
        <v>2000</v>
      </c>
      <c r="AN51" s="209">
        <v>2000</v>
      </c>
      <c r="AO51" s="165">
        <v>2000</v>
      </c>
      <c r="AP51" s="165">
        <v>2000</v>
      </c>
      <c r="AQ51" s="159"/>
      <c r="AR51" s="161"/>
    </row>
    <row r="52" spans="1:44" ht="14.5" x14ac:dyDescent="0.35">
      <c r="A52" s="201" t="s">
        <v>226</v>
      </c>
      <c r="B52" s="202" t="s">
        <v>227</v>
      </c>
      <c r="C52" s="203">
        <f>C53+C56</f>
        <v>47000</v>
      </c>
      <c r="D52" s="203">
        <f>D53+D56</f>
        <v>8930</v>
      </c>
      <c r="E52" s="203">
        <f>E53+E56</f>
        <v>55930</v>
      </c>
      <c r="F52" s="16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60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61"/>
    </row>
    <row r="53" spans="1:44" ht="14.5" x14ac:dyDescent="0.35">
      <c r="A53" s="210"/>
      <c r="B53" s="211" t="s">
        <v>228</v>
      </c>
      <c r="C53" s="212">
        <f>C54+C55</f>
        <v>15000</v>
      </c>
      <c r="D53" s="212">
        <f>C53*0.19</f>
        <v>2850</v>
      </c>
      <c r="E53" s="212">
        <f>ROUND(E54+E55,2)</f>
        <v>17850</v>
      </c>
      <c r="F53" s="16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60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61"/>
    </row>
    <row r="54" spans="1:44" ht="15" customHeight="1" x14ac:dyDescent="0.35">
      <c r="A54" s="210"/>
      <c r="B54" s="213" t="s">
        <v>229</v>
      </c>
      <c r="C54" s="214">
        <v>8500</v>
      </c>
      <c r="D54" s="163">
        <f>C54*0.19</f>
        <v>1615</v>
      </c>
      <c r="E54" s="190">
        <f>D54+C54</f>
        <v>10115</v>
      </c>
      <c r="F54" s="16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60"/>
      <c r="X54" s="159"/>
      <c r="Y54" s="159"/>
      <c r="Z54" s="159"/>
      <c r="AA54" s="159"/>
      <c r="AB54" s="159"/>
      <c r="AC54" s="159">
        <v>5500</v>
      </c>
      <c r="AD54" s="159">
        <v>4500</v>
      </c>
      <c r="AE54" s="159"/>
      <c r="AF54" s="159"/>
      <c r="AG54" s="159"/>
      <c r="AH54" s="159"/>
      <c r="AI54" s="159"/>
      <c r="AJ54" s="159"/>
      <c r="AK54" s="159"/>
      <c r="AL54" s="159"/>
      <c r="AM54" s="159">
        <v>4500</v>
      </c>
      <c r="AN54" s="159">
        <v>5000</v>
      </c>
      <c r="AO54" s="159"/>
      <c r="AP54" s="159"/>
      <c r="AQ54" s="159"/>
      <c r="AR54" s="161"/>
    </row>
    <row r="55" spans="1:44" ht="37.5" x14ac:dyDescent="0.35">
      <c r="A55" s="210"/>
      <c r="B55" s="215" t="s">
        <v>230</v>
      </c>
      <c r="C55" s="214">
        <v>6500</v>
      </c>
      <c r="D55" s="163">
        <f>C55*0.19</f>
        <v>1235</v>
      </c>
      <c r="E55" s="168">
        <f>D55+C55</f>
        <v>7735</v>
      </c>
      <c r="F55" s="216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60"/>
      <c r="X55" s="159"/>
      <c r="Y55" s="159"/>
      <c r="Z55" s="159"/>
      <c r="AA55" s="159"/>
      <c r="AB55" s="159"/>
      <c r="AC55" s="159">
        <v>2000</v>
      </c>
      <c r="AD55" s="159">
        <v>2000</v>
      </c>
      <c r="AE55" s="159"/>
      <c r="AF55" s="159"/>
      <c r="AG55" s="159"/>
      <c r="AH55" s="159"/>
      <c r="AI55" s="159"/>
      <c r="AJ55" s="159"/>
      <c r="AK55" s="159"/>
      <c r="AL55" s="159"/>
      <c r="AM55" s="159">
        <v>2000</v>
      </c>
      <c r="AN55" s="159">
        <v>2500</v>
      </c>
      <c r="AO55" s="159"/>
      <c r="AP55" s="159"/>
      <c r="AQ55" s="159"/>
      <c r="AR55" s="161"/>
    </row>
    <row r="56" spans="1:44" ht="15" customHeight="1" x14ac:dyDescent="0.35">
      <c r="A56" s="210"/>
      <c r="B56" s="211" t="s">
        <v>231</v>
      </c>
      <c r="C56" s="212">
        <v>32000</v>
      </c>
      <c r="D56" s="163">
        <f>C56*0.19</f>
        <v>6080</v>
      </c>
      <c r="E56" s="168">
        <f>D56+C56</f>
        <v>38080</v>
      </c>
      <c r="F56" s="16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60"/>
      <c r="X56" s="159">
        <v>4200</v>
      </c>
      <c r="Y56" s="159">
        <v>4200</v>
      </c>
      <c r="Z56" s="159">
        <v>4200</v>
      </c>
      <c r="AA56" s="159">
        <v>4200</v>
      </c>
      <c r="AB56" s="159">
        <v>4200</v>
      </c>
      <c r="AC56" s="159">
        <v>4200</v>
      </c>
      <c r="AD56" s="159">
        <v>4200</v>
      </c>
      <c r="AE56" s="159">
        <v>4200</v>
      </c>
      <c r="AF56" s="159">
        <v>4200</v>
      </c>
      <c r="AG56" s="159">
        <v>4200</v>
      </c>
      <c r="AH56" s="159">
        <v>4200</v>
      </c>
      <c r="AI56" s="159">
        <v>4200</v>
      </c>
      <c r="AJ56" s="159">
        <v>4200</v>
      </c>
      <c r="AK56" s="159">
        <v>4200</v>
      </c>
      <c r="AL56" s="159">
        <v>4200</v>
      </c>
      <c r="AM56" s="159">
        <v>4200</v>
      </c>
      <c r="AN56" s="159">
        <v>4200</v>
      </c>
      <c r="AO56" s="159">
        <v>4200</v>
      </c>
      <c r="AP56" s="159">
        <v>4400</v>
      </c>
      <c r="AQ56" s="159"/>
      <c r="AR56" s="161"/>
    </row>
    <row r="57" spans="1:44" ht="15" customHeight="1" thickBot="1" x14ac:dyDescent="0.4">
      <c r="A57" s="217"/>
      <c r="B57" s="172" t="s">
        <v>232</v>
      </c>
      <c r="C57" s="173">
        <f>C52+C47+C46+C39+C38+C37+C36+C32</f>
        <v>346500</v>
      </c>
      <c r="D57" s="173">
        <f>ROUND(D32+D36+D39+D46+D47+D52+D38,2)</f>
        <v>63555</v>
      </c>
      <c r="E57" s="173">
        <f>ROUND(E32+E36+E39+E46+E47+E52+E38,2)</f>
        <v>410055</v>
      </c>
      <c r="F57" s="16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60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61"/>
    </row>
    <row r="58" spans="1:44" ht="13" x14ac:dyDescent="0.3">
      <c r="A58" s="153" t="s">
        <v>233</v>
      </c>
      <c r="B58" s="154"/>
      <c r="C58" s="174"/>
      <c r="D58" s="174"/>
      <c r="E58" s="174"/>
      <c r="F58" s="198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60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61"/>
    </row>
    <row r="59" spans="1:44" ht="15" customHeight="1" thickBot="1" x14ac:dyDescent="0.35">
      <c r="A59" s="153" t="s">
        <v>234</v>
      </c>
      <c r="B59" s="154"/>
      <c r="C59" s="174"/>
      <c r="D59" s="174"/>
      <c r="E59" s="174"/>
      <c r="F59" s="198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60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61"/>
    </row>
    <row r="60" spans="1:44" x14ac:dyDescent="0.25">
      <c r="A60" s="155" t="s">
        <v>235</v>
      </c>
      <c r="B60" s="156" t="s">
        <v>236</v>
      </c>
      <c r="C60" s="177">
        <f>1460000+233494.86+105000</f>
        <v>1798494.8599999999</v>
      </c>
      <c r="D60" s="218">
        <f t="shared" ref="D60:D65" si="1">C60*0.19</f>
        <v>341714.02340000001</v>
      </c>
      <c r="E60" s="218">
        <f t="shared" ref="E60:E65" si="2">C60+D60</f>
        <v>2140208.8833999997</v>
      </c>
      <c r="F60" s="198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60"/>
      <c r="X60" s="219">
        <f>350000+75000</f>
        <v>425000</v>
      </c>
      <c r="Y60" s="219">
        <f>420388+115000</f>
        <v>535388</v>
      </c>
      <c r="Z60" s="219">
        <f>250000+550000+165000</f>
        <v>965000</v>
      </c>
      <c r="AA60" s="219">
        <f>248308+480000+155000</f>
        <v>883308</v>
      </c>
      <c r="AB60" s="219">
        <f>200000+660000+165000</f>
        <v>1025000</v>
      </c>
      <c r="AC60" s="219">
        <f>199036+680000+180000</f>
        <v>1059036</v>
      </c>
      <c r="AD60" s="219">
        <f>176753+393418+255247+180000</f>
        <v>1005418</v>
      </c>
      <c r="AE60" s="219"/>
      <c r="AF60" s="219"/>
      <c r="AG60" s="219"/>
      <c r="AH60" s="219"/>
      <c r="AI60" s="219">
        <f>297429+87805+57746</f>
        <v>442980</v>
      </c>
      <c r="AJ60" s="219">
        <f>453143+70000</f>
        <v>523143</v>
      </c>
      <c r="AK60" s="219">
        <f>138053+90486+281515+78000</f>
        <v>588054</v>
      </c>
      <c r="AL60" s="219">
        <f>102572+117662+43314+200000+78000</f>
        <v>541548</v>
      </c>
      <c r="AM60" s="219">
        <f>450000+78000</f>
        <v>528000</v>
      </c>
      <c r="AN60" s="219">
        <f>324099+55000</f>
        <v>379099</v>
      </c>
      <c r="AO60" s="159">
        <f>318526+55000</f>
        <v>373526</v>
      </c>
      <c r="AP60" s="159"/>
      <c r="AQ60" s="159"/>
      <c r="AR60" s="161"/>
    </row>
    <row r="61" spans="1:44" x14ac:dyDescent="0.25">
      <c r="A61" s="162" t="s">
        <v>237</v>
      </c>
      <c r="B61" s="159" t="s">
        <v>238</v>
      </c>
      <c r="C61" s="164">
        <v>0</v>
      </c>
      <c r="D61" s="220">
        <f t="shared" si="1"/>
        <v>0</v>
      </c>
      <c r="E61" s="220">
        <f t="shared" si="2"/>
        <v>0</v>
      </c>
      <c r="F61" s="221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60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61"/>
    </row>
    <row r="62" spans="1:44" x14ac:dyDescent="0.25">
      <c r="A62" s="166" t="s">
        <v>239</v>
      </c>
      <c r="B62" s="167" t="s">
        <v>240</v>
      </c>
      <c r="C62" s="222">
        <v>0</v>
      </c>
      <c r="D62" s="220">
        <f t="shared" si="1"/>
        <v>0</v>
      </c>
      <c r="E62" s="220">
        <f t="shared" si="2"/>
        <v>0</v>
      </c>
      <c r="F62" s="198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60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61"/>
    </row>
    <row r="63" spans="1:44" ht="25" x14ac:dyDescent="0.25">
      <c r="A63" s="166" t="s">
        <v>241</v>
      </c>
      <c r="B63" s="223" t="s">
        <v>242</v>
      </c>
      <c r="C63" s="224">
        <v>0</v>
      </c>
      <c r="D63" s="220">
        <f t="shared" si="1"/>
        <v>0</v>
      </c>
      <c r="E63" s="220">
        <f t="shared" si="2"/>
        <v>0</v>
      </c>
      <c r="F63" s="198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60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61"/>
    </row>
    <row r="64" spans="1:44" x14ac:dyDescent="0.25">
      <c r="A64" s="225" t="s">
        <v>243</v>
      </c>
      <c r="B64" s="226" t="s">
        <v>244</v>
      </c>
      <c r="C64" s="224">
        <v>13000</v>
      </c>
      <c r="D64" s="220">
        <f t="shared" si="1"/>
        <v>2470</v>
      </c>
      <c r="E64" s="220">
        <f t="shared" si="2"/>
        <v>15470</v>
      </c>
      <c r="F64" s="198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65">
        <v>18500</v>
      </c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61"/>
    </row>
    <row r="65" spans="1:44" x14ac:dyDescent="0.25">
      <c r="A65" s="227" t="s">
        <v>245</v>
      </c>
      <c r="B65" s="228" t="s">
        <v>246</v>
      </c>
      <c r="C65" s="229">
        <v>32000</v>
      </c>
      <c r="D65" s="230">
        <f t="shared" si="1"/>
        <v>6080</v>
      </c>
      <c r="E65" s="231">
        <f t="shared" si="2"/>
        <v>38080</v>
      </c>
      <c r="F65" s="221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65">
        <v>120000</v>
      </c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61"/>
    </row>
    <row r="66" spans="1:44" ht="13.5" thickBot="1" x14ac:dyDescent="0.35">
      <c r="A66" s="217"/>
      <c r="B66" s="172" t="s">
        <v>247</v>
      </c>
      <c r="C66" s="173">
        <f>C60+C61+C62+C63+C64+C65</f>
        <v>1843494.8599999999</v>
      </c>
      <c r="D66" s="173">
        <f>D60+D61+D62+D63+D64+D65</f>
        <v>350264.02340000001</v>
      </c>
      <c r="E66" s="173">
        <f>E60+E61+E62+E63+E64+E65</f>
        <v>2193758.8833999997</v>
      </c>
      <c r="F66" s="198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60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61"/>
    </row>
    <row r="67" spans="1:44" ht="13" x14ac:dyDescent="0.3">
      <c r="A67" s="153" t="s">
        <v>248</v>
      </c>
      <c r="B67" s="154"/>
      <c r="C67" s="174"/>
      <c r="D67" s="174"/>
      <c r="E67" s="174"/>
      <c r="F67" s="232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60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61"/>
    </row>
    <row r="68" spans="1:44" ht="13.5" thickBot="1" x14ac:dyDescent="0.35">
      <c r="A68" s="153" t="s">
        <v>249</v>
      </c>
      <c r="B68" s="154"/>
      <c r="C68" s="174"/>
      <c r="D68" s="174"/>
      <c r="E68" s="174"/>
      <c r="F68" s="198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60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61"/>
    </row>
    <row r="69" spans="1:44" ht="13" x14ac:dyDescent="0.3">
      <c r="A69" s="182" t="s">
        <v>250</v>
      </c>
      <c r="B69" s="183" t="s">
        <v>251</v>
      </c>
      <c r="C69" s="233">
        <f>ROUND(C70+C71,2)</f>
        <v>38895.75</v>
      </c>
      <c r="D69" s="233">
        <f>ROUND(D70+D71,2)</f>
        <v>7390.19</v>
      </c>
      <c r="E69" s="233">
        <f>ROUND(E70+E71,2)</f>
        <v>46285.94</v>
      </c>
      <c r="F69" s="198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60"/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61"/>
    </row>
    <row r="70" spans="1:44" x14ac:dyDescent="0.25">
      <c r="A70" s="162"/>
      <c r="B70" s="234" t="s">
        <v>252</v>
      </c>
      <c r="C70" s="220">
        <v>26895.75</v>
      </c>
      <c r="D70" s="164">
        <f>C70*0.19</f>
        <v>5110.1925000000001</v>
      </c>
      <c r="E70" s="164">
        <f>D70+C70</f>
        <v>32005.942500000001</v>
      </c>
      <c r="F70" s="198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65">
        <v>32500</v>
      </c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61"/>
    </row>
    <row r="71" spans="1:44" x14ac:dyDescent="0.25">
      <c r="A71" s="162"/>
      <c r="B71" s="167" t="s">
        <v>253</v>
      </c>
      <c r="C71" s="163">
        <v>12000</v>
      </c>
      <c r="D71" s="163">
        <f>C71*0.19</f>
        <v>2280</v>
      </c>
      <c r="E71" s="163">
        <f>D71+C71</f>
        <v>14280</v>
      </c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65"/>
      <c r="X71" s="159"/>
      <c r="Y71" s="159"/>
      <c r="Z71" s="159"/>
      <c r="AA71" s="159"/>
      <c r="AB71" s="159">
        <v>8500</v>
      </c>
      <c r="AC71" s="159"/>
      <c r="AD71" s="159"/>
      <c r="AE71" s="159"/>
      <c r="AF71" s="159"/>
      <c r="AG71" s="159"/>
      <c r="AH71" s="159"/>
      <c r="AI71" s="159"/>
      <c r="AJ71" s="159"/>
      <c r="AK71" s="159"/>
      <c r="AL71" s="159"/>
      <c r="AM71" s="159"/>
      <c r="AN71" s="159"/>
      <c r="AO71" s="159">
        <v>10000</v>
      </c>
      <c r="AP71" s="159"/>
      <c r="AQ71" s="159"/>
      <c r="AR71" s="161"/>
    </row>
    <row r="72" spans="1:44" ht="13" x14ac:dyDescent="0.25">
      <c r="A72" s="192" t="s">
        <v>254</v>
      </c>
      <c r="B72" s="235" t="s">
        <v>255</v>
      </c>
      <c r="C72" s="194">
        <f>ROUND(C73+C74+C75+C76+C77,2)</f>
        <v>23278.44</v>
      </c>
      <c r="D72" s="194">
        <f>ROUND(D73+D74+D75+D76+D77,2)</f>
        <v>0</v>
      </c>
      <c r="E72" s="194">
        <f>ROUND(E73+E74+E75+E76+E77,2)</f>
        <v>23278.44</v>
      </c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65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61"/>
    </row>
    <row r="73" spans="1:44" x14ac:dyDescent="0.25">
      <c r="A73" s="236"/>
      <c r="B73" s="237" t="s">
        <v>256</v>
      </c>
      <c r="C73" s="238">
        <v>0</v>
      </c>
      <c r="D73" s="163">
        <f>C73*0.19</f>
        <v>0</v>
      </c>
      <c r="E73" s="163">
        <f>D73+C73</f>
        <v>0</v>
      </c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65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61"/>
    </row>
    <row r="74" spans="1:44" x14ac:dyDescent="0.25">
      <c r="A74" s="236"/>
      <c r="B74" s="237" t="s">
        <v>257</v>
      </c>
      <c r="C74" s="238">
        <f>0.005*C66</f>
        <v>9217.4742999999999</v>
      </c>
      <c r="D74" s="163">
        <v>0</v>
      </c>
      <c r="E74" s="163">
        <f>C74</f>
        <v>9217.4742999999999</v>
      </c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65">
        <v>47065</v>
      </c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61"/>
    </row>
    <row r="75" spans="1:44" ht="25" x14ac:dyDescent="0.25">
      <c r="A75" s="236"/>
      <c r="B75" s="237" t="s">
        <v>258</v>
      </c>
      <c r="C75" s="238">
        <f>0.001*C66</f>
        <v>1843.49486</v>
      </c>
      <c r="D75" s="163">
        <v>0</v>
      </c>
      <c r="E75" s="163">
        <f>C75</f>
        <v>1843.49486</v>
      </c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60"/>
      <c r="X75" s="159"/>
      <c r="Y75" s="159"/>
      <c r="Z75" s="159"/>
      <c r="AA75" s="159"/>
      <c r="AB75" s="159"/>
      <c r="AC75" s="159"/>
      <c r="AD75" s="159"/>
      <c r="AE75" s="159"/>
      <c r="AF75" s="159"/>
      <c r="AG75" s="159"/>
      <c r="AH75" s="159"/>
      <c r="AI75" s="159"/>
      <c r="AJ75" s="159"/>
      <c r="AK75" s="159"/>
      <c r="AL75" s="159"/>
      <c r="AM75" s="159"/>
      <c r="AN75" s="159"/>
      <c r="AO75" s="159"/>
      <c r="AP75" s="159">
        <v>9413</v>
      </c>
      <c r="AQ75" s="159"/>
      <c r="AR75" s="161"/>
    </row>
    <row r="76" spans="1:44" x14ac:dyDescent="0.25">
      <c r="A76" s="236"/>
      <c r="B76" s="237" t="s">
        <v>259</v>
      </c>
      <c r="C76" s="238">
        <f>0.005*C66</f>
        <v>9217.4742999999999</v>
      </c>
      <c r="D76" s="163">
        <v>0</v>
      </c>
      <c r="E76" s="163">
        <f>C76</f>
        <v>9217.4742999999999</v>
      </c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60"/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P76" s="159">
        <v>47065</v>
      </c>
      <c r="AQ76" s="159"/>
      <c r="AR76" s="161"/>
    </row>
    <row r="77" spans="1:44" ht="25" x14ac:dyDescent="0.25">
      <c r="A77" s="236"/>
      <c r="B77" s="237" t="s">
        <v>260</v>
      </c>
      <c r="C77" s="238">
        <v>3000</v>
      </c>
      <c r="D77" s="163">
        <v>0</v>
      </c>
      <c r="E77" s="163">
        <f>C77</f>
        <v>3000</v>
      </c>
      <c r="H77" s="159"/>
      <c r="I77" s="159"/>
      <c r="J77" s="159"/>
      <c r="K77" s="159"/>
      <c r="L77" s="159"/>
      <c r="M77" s="159"/>
      <c r="N77" s="159">
        <v>3000</v>
      </c>
      <c r="O77" s="159"/>
      <c r="P77" s="159"/>
      <c r="Q77" s="159"/>
      <c r="R77" s="159"/>
      <c r="S77" s="159"/>
      <c r="T77" s="159"/>
      <c r="U77" s="159"/>
      <c r="V77" s="159"/>
      <c r="W77" s="160"/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61"/>
    </row>
    <row r="78" spans="1:44" ht="13" x14ac:dyDescent="0.3">
      <c r="A78" s="201" t="s">
        <v>261</v>
      </c>
      <c r="B78" s="239" t="s">
        <v>262</v>
      </c>
      <c r="C78" s="203">
        <f>C66*0.1</f>
        <v>184349.486</v>
      </c>
      <c r="D78" s="203">
        <f>ROUND(C78*0.19,2)</f>
        <v>35026.400000000001</v>
      </c>
      <c r="E78" s="203">
        <f>ROUND(D78+C78,2)</f>
        <v>219375.89</v>
      </c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60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59"/>
      <c r="AM78" s="159"/>
      <c r="AN78" s="159"/>
      <c r="AO78" s="159"/>
      <c r="AP78" s="159">
        <v>941300</v>
      </c>
      <c r="AQ78" s="159"/>
      <c r="AR78" s="161"/>
    </row>
    <row r="79" spans="1:44" ht="13" x14ac:dyDescent="0.3">
      <c r="A79" s="240" t="s">
        <v>263</v>
      </c>
      <c r="B79" s="241" t="s">
        <v>264</v>
      </c>
      <c r="C79" s="242">
        <v>8400</v>
      </c>
      <c r="D79" s="203">
        <f>ROUND(C79*0.19,2)</f>
        <v>1596</v>
      </c>
      <c r="E79" s="203">
        <f>ROUND(D79+C79,2)</f>
        <v>9996</v>
      </c>
      <c r="F79" s="243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65">
        <v>8400</v>
      </c>
      <c r="X79" s="159"/>
      <c r="Y79" s="159"/>
      <c r="Z79" s="159"/>
      <c r="AA79" s="159"/>
      <c r="AB79" s="159"/>
      <c r="AC79" s="159"/>
      <c r="AD79" s="159"/>
      <c r="AE79" s="159"/>
      <c r="AF79" s="159"/>
      <c r="AG79" s="159"/>
      <c r="AH79" s="159"/>
      <c r="AI79" s="159"/>
      <c r="AJ79" s="159"/>
      <c r="AK79" s="159"/>
      <c r="AL79" s="159"/>
      <c r="AM79" s="159"/>
      <c r="AN79" s="159"/>
      <c r="AO79" s="159"/>
      <c r="AP79" s="159"/>
      <c r="AQ79" s="159"/>
      <c r="AR79" s="161"/>
    </row>
    <row r="80" spans="1:44" ht="13.5" thickBot="1" x14ac:dyDescent="0.35">
      <c r="A80" s="217"/>
      <c r="B80" s="172" t="s">
        <v>265</v>
      </c>
      <c r="C80" s="173">
        <f>ROUND(C69+C72+C78+C79,2)</f>
        <v>254923.68</v>
      </c>
      <c r="D80" s="173">
        <f>ROUND(D69+D72+D78+D79,2)</f>
        <v>44012.59</v>
      </c>
      <c r="E80" s="173">
        <f>ROUND(E69+E72+E78+E79,2)</f>
        <v>298936.27</v>
      </c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60"/>
      <c r="X80" s="159"/>
      <c r="Y80" s="159"/>
      <c r="Z80" s="159"/>
      <c r="AA80" s="159"/>
      <c r="AB80" s="159"/>
      <c r="AC80" s="159"/>
      <c r="AD80" s="159"/>
      <c r="AE80" s="159"/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61"/>
    </row>
    <row r="81" spans="1:44" ht="13" x14ac:dyDescent="0.3">
      <c r="A81" s="153" t="s">
        <v>266</v>
      </c>
      <c r="B81" s="154"/>
      <c r="C81" s="174"/>
      <c r="D81" s="174"/>
      <c r="E81" s="174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60"/>
      <c r="X81" s="159"/>
      <c r="Y81" s="159"/>
      <c r="Z81" s="159"/>
      <c r="AA81" s="159"/>
      <c r="AB81" s="159"/>
      <c r="AC81" s="159"/>
      <c r="AD81" s="159"/>
      <c r="AE81" s="159"/>
      <c r="AF81" s="159"/>
      <c r="AG81" s="159"/>
      <c r="AH81" s="159"/>
      <c r="AI81" s="159"/>
      <c r="AJ81" s="159"/>
      <c r="AK81" s="159"/>
      <c r="AL81" s="159"/>
      <c r="AM81" s="159"/>
      <c r="AN81" s="159"/>
      <c r="AO81" s="159"/>
      <c r="AP81" s="159"/>
      <c r="AQ81" s="159"/>
      <c r="AR81" s="161"/>
    </row>
    <row r="82" spans="1:44" ht="13.5" thickBot="1" x14ac:dyDescent="0.35">
      <c r="A82" s="244"/>
      <c r="B82" s="154"/>
      <c r="C82" s="245" t="s">
        <v>267</v>
      </c>
      <c r="D82" s="174"/>
      <c r="E82" s="174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60"/>
      <c r="X82" s="159"/>
      <c r="Y82" s="159"/>
      <c r="Z82" s="159"/>
      <c r="AA82" s="159"/>
      <c r="AB82" s="159"/>
      <c r="AC82" s="159"/>
      <c r="AD82" s="159"/>
      <c r="AE82" s="159"/>
      <c r="AF82" s="159"/>
      <c r="AG82" s="159"/>
      <c r="AH82" s="159"/>
      <c r="AI82" s="159"/>
      <c r="AJ82" s="159"/>
      <c r="AK82" s="159"/>
      <c r="AL82" s="159"/>
      <c r="AM82" s="159"/>
      <c r="AN82" s="159"/>
      <c r="AO82" s="159"/>
      <c r="AP82" s="159"/>
      <c r="AQ82" s="159"/>
      <c r="AR82" s="161"/>
    </row>
    <row r="83" spans="1:44" x14ac:dyDescent="0.25">
      <c r="A83" s="155" t="s">
        <v>268</v>
      </c>
      <c r="B83" s="156" t="s">
        <v>269</v>
      </c>
      <c r="C83" s="158">
        <v>4500</v>
      </c>
      <c r="D83" s="158">
        <f>C83*0.19</f>
        <v>855</v>
      </c>
      <c r="E83" s="158">
        <f>C83+D83</f>
        <v>5355</v>
      </c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60"/>
      <c r="X83" s="159"/>
      <c r="Y83" s="159"/>
      <c r="Z83" s="159"/>
      <c r="AA83" s="159"/>
      <c r="AB83" s="159"/>
      <c r="AC83" s="159"/>
      <c r="AD83" s="159"/>
      <c r="AE83" s="159"/>
      <c r="AF83" s="159"/>
      <c r="AG83" s="159"/>
      <c r="AH83" s="159"/>
      <c r="AI83" s="159"/>
      <c r="AJ83" s="159"/>
      <c r="AK83" s="159"/>
      <c r="AL83" s="159"/>
      <c r="AM83" s="159"/>
      <c r="AN83" s="159"/>
      <c r="AO83" s="159"/>
      <c r="AP83" s="159">
        <v>4500</v>
      </c>
      <c r="AQ83" s="159"/>
      <c r="AR83" s="161"/>
    </row>
    <row r="84" spans="1:44" x14ac:dyDescent="0.25">
      <c r="A84" s="162" t="s">
        <v>270</v>
      </c>
      <c r="B84" s="159" t="s">
        <v>271</v>
      </c>
      <c r="C84" s="164">
        <v>25000</v>
      </c>
      <c r="D84" s="164">
        <f>C84*0.19</f>
        <v>4750</v>
      </c>
      <c r="E84" s="164">
        <f>C84+D84</f>
        <v>29750</v>
      </c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60"/>
      <c r="X84" s="159"/>
      <c r="Y84" s="159"/>
      <c r="Z84" s="159"/>
      <c r="AA84" s="159"/>
      <c r="AB84" s="159"/>
      <c r="AC84" s="159"/>
      <c r="AD84" s="159"/>
      <c r="AE84" s="159"/>
      <c r="AF84" s="159"/>
      <c r="AG84" s="159"/>
      <c r="AH84" s="159"/>
      <c r="AI84" s="159"/>
      <c r="AJ84" s="159"/>
      <c r="AK84" s="159"/>
      <c r="AL84" s="159"/>
      <c r="AM84" s="159"/>
      <c r="AN84" s="159"/>
      <c r="AO84" s="159"/>
      <c r="AP84" s="159">
        <v>25000</v>
      </c>
      <c r="AQ84" s="159"/>
      <c r="AR84" s="161"/>
    </row>
    <row r="85" spans="1:44" ht="13.5" thickBot="1" x14ac:dyDescent="0.35">
      <c r="A85" s="246"/>
      <c r="B85" s="247" t="s">
        <v>272</v>
      </c>
      <c r="C85" s="248">
        <f>C83+C84</f>
        <v>29500</v>
      </c>
      <c r="D85" s="248">
        <f>C85*0.19</f>
        <v>5605</v>
      </c>
      <c r="E85" s="248">
        <f>C85+D85</f>
        <v>35105</v>
      </c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60"/>
      <c r="X85" s="159"/>
      <c r="Y85" s="159"/>
      <c r="Z85" s="159"/>
      <c r="AA85" s="159"/>
      <c r="AB85" s="159"/>
      <c r="AC85" s="159"/>
      <c r="AD85" s="159"/>
      <c r="AE85" s="159"/>
      <c r="AF85" s="159"/>
      <c r="AG85" s="159"/>
      <c r="AH85" s="159"/>
      <c r="AI85" s="159"/>
      <c r="AJ85" s="159"/>
      <c r="AK85" s="159"/>
      <c r="AL85" s="159"/>
      <c r="AM85" s="159"/>
      <c r="AN85" s="159"/>
      <c r="AO85" s="159"/>
      <c r="AP85" s="159"/>
      <c r="AQ85" s="159"/>
      <c r="AR85" s="161"/>
    </row>
    <row r="86" spans="1:44" ht="13.5" thickBot="1" x14ac:dyDescent="0.35">
      <c r="A86" s="249"/>
      <c r="B86" s="250"/>
      <c r="C86" s="251"/>
      <c r="D86" s="251"/>
      <c r="E86" s="251"/>
      <c r="H86" s="252">
        <f t="shared" ref="H86:AP86" si="3">SUM(H21:H85)</f>
        <v>18500</v>
      </c>
      <c r="I86" s="252">
        <f t="shared" si="3"/>
        <v>75000</v>
      </c>
      <c r="J86" s="252">
        <f t="shared" si="3"/>
        <v>10000</v>
      </c>
      <c r="K86" s="252">
        <f t="shared" si="3"/>
        <v>6500</v>
      </c>
      <c r="L86" s="252">
        <f t="shared" si="3"/>
        <v>175500</v>
      </c>
      <c r="M86" s="252">
        <f t="shared" si="3"/>
        <v>0</v>
      </c>
      <c r="N86" s="252">
        <f t="shared" si="3"/>
        <v>3000</v>
      </c>
      <c r="O86" s="252">
        <f t="shared" si="3"/>
        <v>4500</v>
      </c>
      <c r="P86" s="252">
        <f t="shared" si="3"/>
        <v>4500</v>
      </c>
      <c r="Q86" s="252">
        <f t="shared" si="3"/>
        <v>4500</v>
      </c>
      <c r="R86" s="252">
        <f t="shared" si="3"/>
        <v>99500</v>
      </c>
      <c r="S86" s="252">
        <f t="shared" si="3"/>
        <v>4500</v>
      </c>
      <c r="T86" s="252">
        <f t="shared" si="3"/>
        <v>78000</v>
      </c>
      <c r="U86" s="252">
        <f t="shared" si="3"/>
        <v>4500</v>
      </c>
      <c r="V86" s="252">
        <f t="shared" si="3"/>
        <v>29500</v>
      </c>
      <c r="W86" s="252">
        <f t="shared" si="3"/>
        <v>265465</v>
      </c>
      <c r="X86" s="252">
        <f t="shared" si="3"/>
        <v>480700</v>
      </c>
      <c r="Y86" s="252">
        <f t="shared" si="3"/>
        <v>616088</v>
      </c>
      <c r="Z86" s="252">
        <f t="shared" si="3"/>
        <v>1070700</v>
      </c>
      <c r="AA86" s="252">
        <f t="shared" si="3"/>
        <v>939008</v>
      </c>
      <c r="AB86" s="252">
        <f t="shared" si="3"/>
        <v>1044200</v>
      </c>
      <c r="AC86" s="252">
        <f t="shared" si="3"/>
        <v>1077236</v>
      </c>
      <c r="AD86" s="252">
        <f t="shared" si="3"/>
        <v>1022618</v>
      </c>
      <c r="AE86" s="252">
        <f t="shared" si="3"/>
        <v>10700</v>
      </c>
      <c r="AF86" s="252">
        <f t="shared" si="3"/>
        <v>10700</v>
      </c>
      <c r="AG86" s="252">
        <f t="shared" si="3"/>
        <v>10700</v>
      </c>
      <c r="AH86" s="252">
        <f t="shared" si="3"/>
        <v>10700</v>
      </c>
      <c r="AI86" s="252">
        <f t="shared" si="3"/>
        <v>453680</v>
      </c>
      <c r="AJ86" s="252">
        <f t="shared" si="3"/>
        <v>565843</v>
      </c>
      <c r="AK86" s="252">
        <f t="shared" si="3"/>
        <v>598754</v>
      </c>
      <c r="AL86" s="252">
        <f t="shared" si="3"/>
        <v>552248</v>
      </c>
      <c r="AM86" s="252">
        <f t="shared" si="3"/>
        <v>545200</v>
      </c>
      <c r="AN86" s="252">
        <f t="shared" si="3"/>
        <v>397299</v>
      </c>
      <c r="AO86" s="252">
        <f t="shared" si="3"/>
        <v>394226</v>
      </c>
      <c r="AP86" s="252">
        <f t="shared" si="3"/>
        <v>1158178</v>
      </c>
      <c r="AQ86" s="252">
        <f>SUM(AQ21:AQ85)</f>
        <v>9000</v>
      </c>
      <c r="AR86" s="161"/>
    </row>
    <row r="87" spans="1:44" ht="13.5" thickBot="1" x14ac:dyDescent="0.35">
      <c r="A87" s="253"/>
      <c r="B87" s="254" t="s">
        <v>273</v>
      </c>
      <c r="C87" s="203">
        <f>C85+C80+C66+C57+C29+C25</f>
        <v>2540122.7999999998</v>
      </c>
      <c r="D87" s="203">
        <f>D85+D80+D66+D57+D29+D25</f>
        <v>475920.43280000007</v>
      </c>
      <c r="E87" s="203">
        <f>E85+E80+E66+E57+E29+E25</f>
        <v>3016043.2329999995</v>
      </c>
      <c r="H87" s="542">
        <f>SUM(H86:AQ86)</f>
        <v>11751243</v>
      </c>
      <c r="I87" s="543"/>
      <c r="J87" s="543"/>
      <c r="K87" s="543"/>
      <c r="L87" s="543"/>
      <c r="M87" s="543"/>
      <c r="N87" s="543"/>
      <c r="O87" s="543"/>
      <c r="P87" s="543"/>
      <c r="Q87" s="543"/>
      <c r="R87" s="543"/>
      <c r="S87" s="543"/>
      <c r="T87" s="543"/>
      <c r="U87" s="543"/>
      <c r="V87" s="543"/>
      <c r="W87" s="543"/>
      <c r="X87" s="543"/>
      <c r="Y87" s="543"/>
      <c r="Z87" s="543"/>
      <c r="AA87" s="543"/>
      <c r="AB87" s="543"/>
      <c r="AC87" s="543"/>
      <c r="AD87" s="543"/>
      <c r="AE87" s="543"/>
      <c r="AF87" s="543"/>
      <c r="AG87" s="543"/>
      <c r="AH87" s="543"/>
      <c r="AI87" s="543"/>
      <c r="AJ87" s="543"/>
      <c r="AK87" s="543"/>
      <c r="AL87" s="543"/>
      <c r="AM87" s="543"/>
      <c r="AN87" s="543"/>
      <c r="AO87" s="543"/>
      <c r="AP87" s="543"/>
      <c r="AQ87" s="544"/>
    </row>
    <row r="88" spans="1:44" ht="14.5" x14ac:dyDescent="0.35">
      <c r="A88" s="255"/>
      <c r="B88" s="256" t="s">
        <v>274</v>
      </c>
      <c r="C88" s="257">
        <f>C22+C23+C24+C29+C60+C61+C70</f>
        <v>1891094.8699999999</v>
      </c>
      <c r="D88" s="257">
        <f>D22+D23+D24+D29+D60+D61+D70</f>
        <v>359308.03529999999</v>
      </c>
      <c r="E88" s="257">
        <f>E22+E23+E24+E29+E60+E61+E70</f>
        <v>2250402.9054999994</v>
      </c>
    </row>
    <row r="89" spans="1:44" ht="13" thickBot="1" x14ac:dyDescent="0.3">
      <c r="A89" s="258"/>
      <c r="B89" s="259" t="s">
        <v>275</v>
      </c>
      <c r="C89" s="260"/>
      <c r="D89" s="260"/>
      <c r="E89" s="260"/>
    </row>
    <row r="90" spans="1:44" x14ac:dyDescent="0.25">
      <c r="A90" s="261"/>
      <c r="B90" s="261"/>
      <c r="C90" s="262"/>
      <c r="D90" s="263"/>
      <c r="E90" s="264"/>
    </row>
    <row r="91" spans="1:44" ht="15" customHeight="1" x14ac:dyDescent="0.25">
      <c r="A91" s="545" t="s">
        <v>328</v>
      </c>
      <c r="B91" s="545"/>
      <c r="C91" s="545"/>
      <c r="D91" s="545"/>
      <c r="E91" s="265">
        <v>4.6586999999999996</v>
      </c>
    </row>
    <row r="92" spans="1:44" ht="13" x14ac:dyDescent="0.3">
      <c r="A92" s="261"/>
      <c r="B92" s="266"/>
      <c r="C92" s="267"/>
      <c r="D92" s="267"/>
      <c r="E92" s="268"/>
    </row>
    <row r="93" spans="1:44" ht="13" x14ac:dyDescent="0.3">
      <c r="A93" s="261"/>
      <c r="B93" s="269" t="s">
        <v>276</v>
      </c>
      <c r="C93" s="270"/>
      <c r="D93" s="271"/>
      <c r="E93" s="272"/>
    </row>
    <row r="94" spans="1:44" x14ac:dyDescent="0.25">
      <c r="A94" s="261"/>
      <c r="B94" s="273" t="s">
        <v>277</v>
      </c>
      <c r="C94" s="270"/>
      <c r="D94" s="546" t="s">
        <v>278</v>
      </c>
      <c r="E94" s="546"/>
    </row>
    <row r="95" spans="1:44" ht="13" x14ac:dyDescent="0.3">
      <c r="A95" s="261"/>
      <c r="B95" s="274" t="s">
        <v>327</v>
      </c>
      <c r="C95" s="270"/>
      <c r="D95" s="547"/>
      <c r="E95" s="547"/>
    </row>
    <row r="96" spans="1:44" ht="13" x14ac:dyDescent="0.3">
      <c r="A96" s="270"/>
      <c r="B96" s="275"/>
      <c r="C96" s="276"/>
      <c r="D96" s="548"/>
      <c r="E96" s="548"/>
    </row>
    <row r="97" spans="1:5" x14ac:dyDescent="0.25">
      <c r="A97" s="270"/>
      <c r="B97" s="277"/>
      <c r="C97" s="277"/>
      <c r="D97" s="278"/>
      <c r="E97" s="279"/>
    </row>
    <row r="98" spans="1:5" x14ac:dyDescent="0.25">
      <c r="A98" s="280"/>
      <c r="B98" s="281"/>
      <c r="C98" s="282"/>
      <c r="D98" s="282"/>
      <c r="E98" s="283"/>
    </row>
    <row r="99" spans="1:5" x14ac:dyDescent="0.25">
      <c r="A99" s="284"/>
      <c r="B99" s="281"/>
      <c r="C99" s="282"/>
      <c r="D99" s="282"/>
      <c r="E99" s="285"/>
    </row>
    <row r="100" spans="1:5" x14ac:dyDescent="0.25">
      <c r="A100" s="286"/>
      <c r="B100" s="287" t="s">
        <v>127</v>
      </c>
      <c r="C100" s="286"/>
      <c r="D100" s="286"/>
      <c r="E100" s="286"/>
    </row>
    <row r="101" spans="1:5" ht="13" x14ac:dyDescent="0.3">
      <c r="A101" s="286"/>
      <c r="B101" s="288"/>
      <c r="C101" s="289"/>
      <c r="D101" s="286"/>
      <c r="E101" s="286"/>
    </row>
    <row r="102" spans="1:5" ht="13" x14ac:dyDescent="0.3">
      <c r="A102" s="286"/>
      <c r="B102" s="290" t="s">
        <v>279</v>
      </c>
      <c r="C102" s="289"/>
      <c r="D102" s="286"/>
      <c r="E102" s="286"/>
    </row>
    <row r="103" spans="1:5" ht="13" x14ac:dyDescent="0.3">
      <c r="A103" s="286"/>
      <c r="B103" s="291" t="s">
        <v>280</v>
      </c>
      <c r="C103" s="292"/>
      <c r="D103" s="286"/>
      <c r="E103" s="286"/>
    </row>
    <row r="104" spans="1:5" x14ac:dyDescent="0.25">
      <c r="A104" s="286"/>
      <c r="B104" s="293" t="s">
        <v>281</v>
      </c>
      <c r="C104" s="286"/>
      <c r="D104" s="286"/>
      <c r="E104" s="286"/>
    </row>
  </sheetData>
  <mergeCells count="20">
    <mergeCell ref="H87:AQ87"/>
    <mergeCell ref="A91:D91"/>
    <mergeCell ref="D94:E94"/>
    <mergeCell ref="D95:E95"/>
    <mergeCell ref="D96:E96"/>
    <mergeCell ref="A12:A16"/>
    <mergeCell ref="B12:B16"/>
    <mergeCell ref="C12:E13"/>
    <mergeCell ref="C14:C15"/>
    <mergeCell ref="D14:D15"/>
    <mergeCell ref="E14:E15"/>
    <mergeCell ref="A7:E7"/>
    <mergeCell ref="A8:E8"/>
    <mergeCell ref="I9:J9"/>
    <mergeCell ref="W9:AQ9"/>
    <mergeCell ref="B10:D10"/>
    <mergeCell ref="H10:S10"/>
    <mergeCell ref="T10:AE10"/>
    <mergeCell ref="AF10:AQ10"/>
    <mergeCell ref="A9:E9"/>
  </mergeCells>
  <conditionalFormatting sqref="B55">
    <cfRule type="dataBar" priority="1">
      <dataBar>
        <cfvo type="min"/>
        <cfvo type="max"/>
        <color rgb="FF638EC6"/>
      </dataBar>
    </cfRule>
  </conditionalFormatting>
  <pageMargins left="0.25" right="0.25" top="0.75" bottom="0.75" header="0.3" footer="0.3"/>
  <pageSetup paperSize="9" scale="90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topLeftCell="A43" workbookViewId="0">
      <selection activeCell="B61" sqref="B61"/>
    </sheetView>
  </sheetViews>
  <sheetFormatPr defaultRowHeight="14.5" x14ac:dyDescent="0.35"/>
  <cols>
    <col min="1" max="1" width="4.453125" style="3" customWidth="1"/>
    <col min="2" max="2" width="23" customWidth="1"/>
    <col min="3" max="3" width="8.1796875" style="3" customWidth="1"/>
    <col min="4" max="4" width="8.81640625" style="3" customWidth="1"/>
    <col min="5" max="5" width="9.36328125" style="3" customWidth="1"/>
    <col min="6" max="6" width="10.81640625" style="3" customWidth="1"/>
    <col min="7" max="7" width="10.08984375" customWidth="1"/>
    <col min="8" max="8" width="10" style="3" customWidth="1"/>
    <col min="9" max="9" width="11" style="3" customWidth="1"/>
    <col min="10" max="10" width="13.7265625" style="3" customWidth="1"/>
    <col min="11" max="11" width="20.453125" style="3" customWidth="1"/>
    <col min="12" max="12" width="15.1796875" style="3" customWidth="1"/>
    <col min="13" max="13" width="10.453125" style="3" customWidth="1"/>
    <col min="14" max="14" width="16.54296875" customWidth="1"/>
    <col min="15" max="15" width="5.1796875" bestFit="1" customWidth="1"/>
    <col min="16" max="16" width="7.7265625" customWidth="1"/>
    <col min="18" max="18" width="10.453125" customWidth="1"/>
    <col min="19" max="19" width="11.26953125" customWidth="1"/>
    <col min="24" max="24" width="14.26953125" customWidth="1"/>
    <col min="25" max="25" width="12.453125" customWidth="1"/>
  </cols>
  <sheetData>
    <row r="1" spans="1:21" ht="18.5" x14ac:dyDescent="0.45">
      <c r="B1" s="369" t="s">
        <v>331</v>
      </c>
      <c r="C1" s="370"/>
      <c r="D1" s="370"/>
      <c r="E1" s="370"/>
      <c r="F1" s="370"/>
    </row>
    <row r="4" spans="1:21" ht="15" thickBot="1" x14ac:dyDescent="0.4"/>
    <row r="5" spans="1:21" s="372" customFormat="1" ht="15" customHeight="1" thickBot="1" x14ac:dyDescent="0.4">
      <c r="A5" s="371"/>
      <c r="C5" s="373"/>
      <c r="D5" s="550" t="s">
        <v>332</v>
      </c>
      <c r="E5" s="551"/>
      <c r="F5" s="551"/>
      <c r="G5" s="552" t="s">
        <v>333</v>
      </c>
      <c r="H5" s="553"/>
      <c r="I5" s="553"/>
      <c r="J5" s="553"/>
      <c r="K5" s="553"/>
      <c r="L5" s="553"/>
      <c r="M5" s="553"/>
      <c r="N5" s="553"/>
      <c r="O5" s="554"/>
    </row>
    <row r="6" spans="1:21" s="380" customFormat="1" ht="45" customHeight="1" x14ac:dyDescent="0.35">
      <c r="A6" s="375" t="s">
        <v>5</v>
      </c>
      <c r="B6" s="376" t="s">
        <v>0</v>
      </c>
      <c r="C6" s="377" t="s">
        <v>334</v>
      </c>
      <c r="D6" s="377" t="s">
        <v>335</v>
      </c>
      <c r="E6" s="377" t="s">
        <v>336</v>
      </c>
      <c r="F6" s="377" t="s">
        <v>337</v>
      </c>
      <c r="G6" s="378" t="s">
        <v>338</v>
      </c>
      <c r="H6" s="379" t="s">
        <v>339</v>
      </c>
      <c r="I6" s="379" t="s">
        <v>340</v>
      </c>
      <c r="J6" s="379" t="s">
        <v>341</v>
      </c>
      <c r="K6" s="379" t="s">
        <v>342</v>
      </c>
      <c r="L6" s="379" t="s">
        <v>343</v>
      </c>
      <c r="M6" s="379" t="s">
        <v>344</v>
      </c>
      <c r="N6" s="379" t="s">
        <v>345</v>
      </c>
      <c r="O6" s="378" t="s">
        <v>346</v>
      </c>
      <c r="S6" s="380" t="s">
        <v>347</v>
      </c>
      <c r="T6" s="380" t="s">
        <v>348</v>
      </c>
      <c r="U6" s="380" t="s">
        <v>349</v>
      </c>
    </row>
    <row r="7" spans="1:21" s="315" customFormat="1" x14ac:dyDescent="0.35">
      <c r="A7" s="381">
        <v>1</v>
      </c>
      <c r="B7" s="382" t="s">
        <v>350</v>
      </c>
      <c r="C7" s="383">
        <v>350</v>
      </c>
      <c r="D7" s="383">
        <v>10</v>
      </c>
      <c r="E7" s="383">
        <v>10</v>
      </c>
      <c r="F7" s="383">
        <v>20</v>
      </c>
      <c r="G7" s="337">
        <v>35</v>
      </c>
      <c r="H7" s="383">
        <v>5</v>
      </c>
      <c r="I7" s="383" t="s">
        <v>4</v>
      </c>
      <c r="J7" s="383">
        <v>1</v>
      </c>
      <c r="K7" s="383" t="s">
        <v>1</v>
      </c>
      <c r="L7" s="383">
        <v>0.5</v>
      </c>
      <c r="M7" s="383">
        <v>6</v>
      </c>
      <c r="N7" s="384" t="s">
        <v>351</v>
      </c>
      <c r="O7" s="381">
        <v>0.8</v>
      </c>
      <c r="S7" s="315">
        <v>10</v>
      </c>
    </row>
    <row r="8" spans="1:21" s="315" customFormat="1" x14ac:dyDescent="0.35">
      <c r="A8" s="381">
        <v>2</v>
      </c>
      <c r="B8" s="382" t="s">
        <v>352</v>
      </c>
      <c r="C8" s="383">
        <v>230</v>
      </c>
      <c r="D8" s="383">
        <v>6</v>
      </c>
      <c r="E8" s="383">
        <v>6</v>
      </c>
      <c r="F8" s="383">
        <v>20</v>
      </c>
      <c r="G8" s="337">
        <v>35</v>
      </c>
      <c r="H8" s="383">
        <v>4</v>
      </c>
      <c r="I8" s="383" t="s">
        <v>4</v>
      </c>
      <c r="J8" s="383">
        <v>1</v>
      </c>
      <c r="K8" s="383" t="s">
        <v>1</v>
      </c>
      <c r="L8" s="383">
        <v>0.5</v>
      </c>
      <c r="M8" s="383">
        <v>6</v>
      </c>
      <c r="N8" s="384" t="s">
        <v>351</v>
      </c>
      <c r="O8" s="381">
        <v>0.8</v>
      </c>
      <c r="S8" s="315">
        <v>6</v>
      </c>
    </row>
    <row r="9" spans="1:21" s="315" customFormat="1" x14ac:dyDescent="0.35">
      <c r="A9" s="381">
        <v>3</v>
      </c>
      <c r="B9" s="382" t="s">
        <v>353</v>
      </c>
      <c r="C9" s="383">
        <v>370</v>
      </c>
      <c r="D9" s="383">
        <v>10</v>
      </c>
      <c r="E9" s="383">
        <v>10</v>
      </c>
      <c r="F9" s="383">
        <v>28</v>
      </c>
      <c r="G9" s="337">
        <v>35</v>
      </c>
      <c r="H9" s="383">
        <v>7</v>
      </c>
      <c r="I9" s="383" t="s">
        <v>4</v>
      </c>
      <c r="J9" s="383">
        <v>2</v>
      </c>
      <c r="K9" s="383" t="s">
        <v>1</v>
      </c>
      <c r="L9" s="383">
        <v>0.5</v>
      </c>
      <c r="M9" s="383">
        <v>6</v>
      </c>
      <c r="N9" s="384" t="s">
        <v>351</v>
      </c>
      <c r="O9" s="381">
        <v>0.8</v>
      </c>
      <c r="T9" s="315">
        <v>10</v>
      </c>
    </row>
    <row r="10" spans="1:21" s="315" customFormat="1" x14ac:dyDescent="0.35">
      <c r="A10" s="381">
        <v>4</v>
      </c>
      <c r="B10" s="382" t="s">
        <v>354</v>
      </c>
      <c r="C10" s="383">
        <v>350</v>
      </c>
      <c r="D10" s="383">
        <v>9</v>
      </c>
      <c r="E10" s="383">
        <v>9</v>
      </c>
      <c r="F10" s="383">
        <v>38.1</v>
      </c>
      <c r="G10" s="337">
        <v>35</v>
      </c>
      <c r="H10" s="383">
        <v>7</v>
      </c>
      <c r="I10" s="383" t="s">
        <v>3</v>
      </c>
      <c r="J10" s="383">
        <v>2</v>
      </c>
      <c r="K10" s="383" t="s">
        <v>1</v>
      </c>
      <c r="L10" s="383">
        <v>0.5</v>
      </c>
      <c r="M10" s="383">
        <v>6</v>
      </c>
      <c r="N10" s="384" t="s">
        <v>351</v>
      </c>
      <c r="O10" s="381">
        <v>0.8</v>
      </c>
      <c r="U10" s="315">
        <v>9</v>
      </c>
    </row>
    <row r="11" spans="1:21" s="315" customFormat="1" x14ac:dyDescent="0.35">
      <c r="A11" s="383">
        <v>5</v>
      </c>
      <c r="B11" s="385" t="s">
        <v>355</v>
      </c>
      <c r="C11" s="383">
        <v>315</v>
      </c>
      <c r="D11" s="383">
        <v>9</v>
      </c>
      <c r="E11" s="383">
        <v>9</v>
      </c>
      <c r="F11" s="383">
        <v>20</v>
      </c>
      <c r="G11" s="383">
        <v>35</v>
      </c>
      <c r="H11" s="383">
        <v>5</v>
      </c>
      <c r="I11" s="383" t="s">
        <v>4</v>
      </c>
      <c r="J11" s="383">
        <v>1</v>
      </c>
      <c r="K11" s="383" t="s">
        <v>1</v>
      </c>
      <c r="L11" s="383">
        <v>0.5</v>
      </c>
      <c r="M11" s="383">
        <v>6</v>
      </c>
      <c r="N11" s="384" t="s">
        <v>351</v>
      </c>
      <c r="O11" s="381">
        <v>0.8</v>
      </c>
      <c r="S11" s="315">
        <v>9</v>
      </c>
    </row>
    <row r="12" spans="1:21" s="315" customFormat="1" x14ac:dyDescent="0.35">
      <c r="A12" s="383">
        <v>6</v>
      </c>
      <c r="B12" s="386" t="s">
        <v>356</v>
      </c>
      <c r="C12" s="383">
        <v>250</v>
      </c>
      <c r="D12" s="383">
        <v>7</v>
      </c>
      <c r="E12" s="383">
        <v>7</v>
      </c>
      <c r="F12" s="383">
        <v>20</v>
      </c>
      <c r="G12" s="383">
        <v>35</v>
      </c>
      <c r="H12" s="383">
        <v>4</v>
      </c>
      <c r="I12" s="383" t="s">
        <v>4</v>
      </c>
      <c r="J12" s="383">
        <v>1</v>
      </c>
      <c r="K12" s="383" t="s">
        <v>1</v>
      </c>
      <c r="L12" s="383">
        <v>0.5</v>
      </c>
      <c r="M12" s="383">
        <v>6</v>
      </c>
      <c r="N12" s="384" t="s">
        <v>351</v>
      </c>
      <c r="O12" s="381">
        <v>0.8</v>
      </c>
      <c r="S12" s="315">
        <v>7</v>
      </c>
    </row>
    <row r="13" spans="1:21" s="315" customFormat="1" x14ac:dyDescent="0.35">
      <c r="A13" s="383">
        <v>7</v>
      </c>
      <c r="B13" s="386" t="s">
        <v>357</v>
      </c>
      <c r="C13" s="383">
        <v>260</v>
      </c>
      <c r="D13" s="383">
        <v>9</v>
      </c>
      <c r="E13" s="383">
        <v>9</v>
      </c>
      <c r="F13" s="383">
        <v>28</v>
      </c>
      <c r="G13" s="383">
        <v>35</v>
      </c>
      <c r="H13" s="383">
        <v>5</v>
      </c>
      <c r="I13" s="383" t="s">
        <v>3</v>
      </c>
      <c r="J13" s="383">
        <v>1</v>
      </c>
      <c r="K13" s="383" t="s">
        <v>1</v>
      </c>
      <c r="L13" s="383">
        <v>0.5</v>
      </c>
      <c r="M13" s="383">
        <v>6</v>
      </c>
      <c r="N13" s="384" t="s">
        <v>351</v>
      </c>
      <c r="O13" s="381">
        <v>0.8</v>
      </c>
      <c r="T13" s="315">
        <v>9</v>
      </c>
    </row>
    <row r="14" spans="1:21" x14ac:dyDescent="0.35">
      <c r="A14" s="383">
        <v>8</v>
      </c>
      <c r="B14" s="386" t="s">
        <v>358</v>
      </c>
      <c r="C14" s="383">
        <v>180</v>
      </c>
      <c r="D14" s="383">
        <v>6</v>
      </c>
      <c r="E14" s="383">
        <v>6</v>
      </c>
      <c r="F14" s="383">
        <v>28</v>
      </c>
      <c r="G14" s="383">
        <v>35</v>
      </c>
      <c r="H14" s="383">
        <v>5</v>
      </c>
      <c r="I14" s="383" t="s">
        <v>3</v>
      </c>
      <c r="J14" s="383">
        <v>1</v>
      </c>
      <c r="K14" s="383" t="s">
        <v>1</v>
      </c>
      <c r="L14" s="383">
        <v>0.5</v>
      </c>
      <c r="M14" s="383">
        <v>6</v>
      </c>
      <c r="N14" s="384" t="s">
        <v>351</v>
      </c>
      <c r="O14" s="381">
        <v>0.8</v>
      </c>
      <c r="T14">
        <v>6</v>
      </c>
    </row>
    <row r="15" spans="1:21" x14ac:dyDescent="0.35">
      <c r="A15" s="383">
        <v>9</v>
      </c>
      <c r="B15" s="386" t="s">
        <v>359</v>
      </c>
      <c r="C15" s="383">
        <v>200</v>
      </c>
      <c r="D15" s="383">
        <v>5</v>
      </c>
      <c r="E15" s="383">
        <v>5</v>
      </c>
      <c r="F15" s="383">
        <v>20</v>
      </c>
      <c r="G15" s="383">
        <v>35</v>
      </c>
      <c r="H15" s="383">
        <v>3</v>
      </c>
      <c r="I15" s="383" t="s">
        <v>4</v>
      </c>
      <c r="J15" s="383">
        <v>1</v>
      </c>
      <c r="K15" s="383" t="s">
        <v>1</v>
      </c>
      <c r="L15" s="383">
        <v>0.5</v>
      </c>
      <c r="M15" s="383">
        <v>6</v>
      </c>
      <c r="N15" s="384" t="s">
        <v>351</v>
      </c>
      <c r="O15" s="381">
        <v>0.8</v>
      </c>
      <c r="S15">
        <v>5</v>
      </c>
    </row>
    <row r="16" spans="1:21" x14ac:dyDescent="0.35">
      <c r="A16" s="383">
        <v>10</v>
      </c>
      <c r="B16" s="386" t="s">
        <v>360</v>
      </c>
      <c r="C16" s="383">
        <v>290</v>
      </c>
      <c r="D16" s="383">
        <v>8</v>
      </c>
      <c r="E16" s="383">
        <v>8</v>
      </c>
      <c r="F16" s="383">
        <v>20</v>
      </c>
      <c r="G16" s="383">
        <v>35</v>
      </c>
      <c r="H16" s="383">
        <v>4</v>
      </c>
      <c r="I16" s="383" t="s">
        <v>4</v>
      </c>
      <c r="J16" s="383">
        <v>1</v>
      </c>
      <c r="K16" s="383" t="s">
        <v>1</v>
      </c>
      <c r="L16" s="383">
        <v>0.5</v>
      </c>
      <c r="M16" s="383">
        <v>6</v>
      </c>
      <c r="N16" s="384" t="s">
        <v>351</v>
      </c>
      <c r="O16" s="381">
        <v>0.8</v>
      </c>
      <c r="S16">
        <v>8</v>
      </c>
    </row>
    <row r="17" spans="1:21" x14ac:dyDescent="0.35">
      <c r="A17" s="383">
        <v>11</v>
      </c>
      <c r="B17" s="386" t="s">
        <v>361</v>
      </c>
      <c r="C17" s="383">
        <v>200</v>
      </c>
      <c r="D17" s="383">
        <v>6</v>
      </c>
      <c r="E17" s="383">
        <v>6</v>
      </c>
      <c r="F17" s="383">
        <v>20</v>
      </c>
      <c r="G17" s="383">
        <v>35</v>
      </c>
      <c r="H17" s="383">
        <v>5</v>
      </c>
      <c r="I17" s="383" t="s">
        <v>4</v>
      </c>
      <c r="J17" s="383">
        <v>1</v>
      </c>
      <c r="K17" s="383" t="s">
        <v>1</v>
      </c>
      <c r="L17" s="383">
        <v>0.5</v>
      </c>
      <c r="M17" s="383">
        <v>6</v>
      </c>
      <c r="N17" s="384" t="s">
        <v>351</v>
      </c>
      <c r="O17" s="381">
        <v>0.8</v>
      </c>
      <c r="S17">
        <v>6</v>
      </c>
    </row>
    <row r="18" spans="1:21" x14ac:dyDescent="0.35">
      <c r="A18" s="383">
        <v>12</v>
      </c>
      <c r="B18" s="386" t="s">
        <v>362</v>
      </c>
      <c r="C18" s="383">
        <v>500</v>
      </c>
      <c r="D18" s="383">
        <v>15</v>
      </c>
      <c r="E18" s="383">
        <v>15</v>
      </c>
      <c r="F18" s="383">
        <v>38.1</v>
      </c>
      <c r="G18" s="337">
        <v>35</v>
      </c>
      <c r="H18" s="383">
        <v>7</v>
      </c>
      <c r="I18" s="383" t="s">
        <v>3</v>
      </c>
      <c r="J18" s="383">
        <v>2</v>
      </c>
      <c r="K18" s="383" t="s">
        <v>1</v>
      </c>
      <c r="L18" s="383">
        <v>0.5</v>
      </c>
      <c r="M18" s="383">
        <v>6</v>
      </c>
      <c r="N18" s="384" t="s">
        <v>351</v>
      </c>
      <c r="O18" s="381">
        <v>0.8</v>
      </c>
      <c r="U18">
        <v>15</v>
      </c>
    </row>
    <row r="19" spans="1:21" x14ac:dyDescent="0.35">
      <c r="A19" s="383">
        <v>13</v>
      </c>
      <c r="B19" s="386" t="s">
        <v>363</v>
      </c>
      <c r="C19" s="383">
        <v>350</v>
      </c>
      <c r="D19" s="383">
        <v>10</v>
      </c>
      <c r="E19" s="383">
        <v>10</v>
      </c>
      <c r="F19" s="383">
        <v>20</v>
      </c>
      <c r="G19" s="383">
        <v>35</v>
      </c>
      <c r="H19" s="383">
        <v>5</v>
      </c>
      <c r="I19" s="383" t="s">
        <v>4</v>
      </c>
      <c r="J19" s="383">
        <v>1</v>
      </c>
      <c r="K19" s="383" t="s">
        <v>1</v>
      </c>
      <c r="L19" s="383">
        <v>0.5</v>
      </c>
      <c r="M19" s="383">
        <v>6</v>
      </c>
      <c r="N19" s="384" t="s">
        <v>351</v>
      </c>
      <c r="O19" s="381">
        <v>0.8</v>
      </c>
      <c r="S19">
        <v>10</v>
      </c>
    </row>
    <row r="20" spans="1:21" x14ac:dyDescent="0.35">
      <c r="A20" s="383">
        <v>14</v>
      </c>
      <c r="B20" s="386" t="s">
        <v>364</v>
      </c>
      <c r="C20" s="383">
        <v>190</v>
      </c>
      <c r="D20" s="383">
        <v>5</v>
      </c>
      <c r="E20" s="383">
        <v>5</v>
      </c>
      <c r="F20" s="383">
        <v>20</v>
      </c>
      <c r="G20" s="383">
        <v>35</v>
      </c>
      <c r="H20" s="383">
        <v>5</v>
      </c>
      <c r="I20" s="383" t="s">
        <v>4</v>
      </c>
      <c r="J20" s="383">
        <v>1</v>
      </c>
      <c r="K20" s="383" t="s">
        <v>1</v>
      </c>
      <c r="L20" s="383">
        <v>0.5</v>
      </c>
      <c r="M20" s="383">
        <v>6</v>
      </c>
      <c r="N20" s="384" t="s">
        <v>351</v>
      </c>
      <c r="O20" s="381">
        <v>0.8</v>
      </c>
      <c r="S20">
        <v>5</v>
      </c>
    </row>
    <row r="21" spans="1:21" x14ac:dyDescent="0.35">
      <c r="A21" s="383">
        <v>15</v>
      </c>
      <c r="B21" s="386" t="s">
        <v>365</v>
      </c>
      <c r="C21" s="383">
        <v>110</v>
      </c>
      <c r="D21" s="383">
        <v>3</v>
      </c>
      <c r="E21" s="383">
        <v>3</v>
      </c>
      <c r="F21" s="383">
        <v>20</v>
      </c>
      <c r="G21" s="383">
        <v>35</v>
      </c>
      <c r="H21" s="383">
        <v>5</v>
      </c>
      <c r="I21" s="383" t="s">
        <v>4</v>
      </c>
      <c r="J21" s="383">
        <v>1</v>
      </c>
      <c r="K21" s="383" t="s">
        <v>1</v>
      </c>
      <c r="L21" s="383">
        <v>0.5</v>
      </c>
      <c r="M21" s="383">
        <v>6</v>
      </c>
      <c r="N21" s="384" t="s">
        <v>351</v>
      </c>
      <c r="O21" s="381">
        <v>0.8</v>
      </c>
      <c r="S21">
        <v>3</v>
      </c>
    </row>
    <row r="22" spans="1:21" s="315" customFormat="1" x14ac:dyDescent="0.35">
      <c r="A22" s="381">
        <v>16</v>
      </c>
      <c r="B22" s="382" t="s">
        <v>366</v>
      </c>
      <c r="C22" s="383">
        <v>260</v>
      </c>
      <c r="D22" s="383">
        <v>8</v>
      </c>
      <c r="E22" s="383">
        <v>8</v>
      </c>
      <c r="F22" s="383">
        <v>28</v>
      </c>
      <c r="G22" s="337">
        <v>35</v>
      </c>
      <c r="H22" s="383">
        <v>7</v>
      </c>
      <c r="I22" s="383" t="s">
        <v>4</v>
      </c>
      <c r="J22" s="383">
        <v>2</v>
      </c>
      <c r="K22" s="383" t="s">
        <v>1</v>
      </c>
      <c r="L22" s="383">
        <v>0.5</v>
      </c>
      <c r="M22" s="383">
        <v>6</v>
      </c>
      <c r="N22" s="384" t="s">
        <v>351</v>
      </c>
      <c r="O22" s="381">
        <v>0.8</v>
      </c>
      <c r="T22" s="315">
        <v>8</v>
      </c>
    </row>
    <row r="23" spans="1:21" s="315" customFormat="1" x14ac:dyDescent="0.35">
      <c r="A23" s="383">
        <v>17</v>
      </c>
      <c r="B23" s="387" t="s">
        <v>367</v>
      </c>
      <c r="C23" s="388">
        <v>350</v>
      </c>
      <c r="D23" s="383">
        <v>10</v>
      </c>
      <c r="E23" s="383">
        <v>10</v>
      </c>
      <c r="F23" s="383">
        <v>28</v>
      </c>
      <c r="G23" s="337">
        <v>35</v>
      </c>
      <c r="H23" s="383">
        <v>6</v>
      </c>
      <c r="I23" s="383" t="s">
        <v>4</v>
      </c>
      <c r="J23" s="383">
        <v>2</v>
      </c>
      <c r="K23" s="383" t="s">
        <v>1</v>
      </c>
      <c r="L23" s="383">
        <v>0.5</v>
      </c>
      <c r="M23" s="383">
        <v>6</v>
      </c>
      <c r="N23" s="384" t="s">
        <v>351</v>
      </c>
      <c r="O23" s="381">
        <v>0.8</v>
      </c>
      <c r="T23" s="315">
        <v>10</v>
      </c>
    </row>
    <row r="24" spans="1:21" x14ac:dyDescent="0.35">
      <c r="D24" s="3">
        <f>SUM(D7:D23)</f>
        <v>136</v>
      </c>
      <c r="E24" s="3">
        <f>SUM(E7:E23)</f>
        <v>136</v>
      </c>
    </row>
    <row r="26" spans="1:21" ht="18.5" x14ac:dyDescent="0.45">
      <c r="B26" s="369" t="s">
        <v>368</v>
      </c>
      <c r="C26" s="370"/>
      <c r="D26" s="370"/>
      <c r="E26" s="370"/>
      <c r="F26" s="370"/>
    </row>
    <row r="27" spans="1:21" ht="15" thickBot="1" x14ac:dyDescent="0.4"/>
    <row r="28" spans="1:21" s="372" customFormat="1" ht="15" customHeight="1" thickBot="1" x14ac:dyDescent="0.4">
      <c r="A28" s="371"/>
      <c r="C28" s="373"/>
      <c r="D28" s="550" t="s">
        <v>332</v>
      </c>
      <c r="E28" s="551"/>
      <c r="F28" s="551"/>
      <c r="G28" s="552" t="s">
        <v>333</v>
      </c>
      <c r="H28" s="553"/>
      <c r="I28" s="553"/>
      <c r="J28" s="553"/>
      <c r="K28" s="553"/>
      <c r="L28" s="553"/>
      <c r="M28" s="553"/>
      <c r="N28" s="553"/>
      <c r="O28" s="554"/>
    </row>
    <row r="29" spans="1:21" s="372" customFormat="1" ht="45" customHeight="1" x14ac:dyDescent="0.35">
      <c r="A29" s="375" t="s">
        <v>5</v>
      </c>
      <c r="B29" s="376" t="s">
        <v>0</v>
      </c>
      <c r="C29" s="377" t="s">
        <v>334</v>
      </c>
      <c r="D29" s="389" t="s">
        <v>335</v>
      </c>
      <c r="E29" s="377" t="s">
        <v>336</v>
      </c>
      <c r="F29" s="389" t="s">
        <v>369</v>
      </c>
      <c r="G29" s="378" t="s">
        <v>338</v>
      </c>
      <c r="H29" s="379" t="s">
        <v>339</v>
      </c>
      <c r="I29" s="379" t="s">
        <v>340</v>
      </c>
      <c r="J29" s="379" t="s">
        <v>341</v>
      </c>
      <c r="K29" s="379" t="s">
        <v>342</v>
      </c>
      <c r="L29" s="379" t="s">
        <v>343</v>
      </c>
      <c r="M29" s="379" t="s">
        <v>344</v>
      </c>
      <c r="N29" s="379" t="s">
        <v>345</v>
      </c>
      <c r="O29" s="378" t="s">
        <v>346</v>
      </c>
    </row>
    <row r="30" spans="1:21" s="315" customFormat="1" x14ac:dyDescent="0.35">
      <c r="A30" s="381">
        <v>3</v>
      </c>
      <c r="B30" s="382" t="s">
        <v>370</v>
      </c>
      <c r="C30" s="383">
        <v>350</v>
      </c>
      <c r="D30" s="383">
        <v>10</v>
      </c>
      <c r="E30" s="383">
        <v>10</v>
      </c>
      <c r="F30" s="383">
        <v>20</v>
      </c>
      <c r="G30" s="337">
        <v>35</v>
      </c>
      <c r="H30" s="383">
        <v>5</v>
      </c>
      <c r="I30" s="383" t="s">
        <v>4</v>
      </c>
      <c r="J30" s="383">
        <v>1</v>
      </c>
      <c r="K30" s="383" t="s">
        <v>1</v>
      </c>
      <c r="L30" s="383">
        <v>0.5</v>
      </c>
      <c r="M30" s="383">
        <v>6</v>
      </c>
      <c r="N30" s="384" t="s">
        <v>351</v>
      </c>
      <c r="O30" s="381">
        <v>0.8</v>
      </c>
      <c r="S30" s="315">
        <v>10</v>
      </c>
    </row>
    <row r="31" spans="1:21" s="315" customFormat="1" x14ac:dyDescent="0.35">
      <c r="A31" s="381">
        <v>4</v>
      </c>
      <c r="B31" s="382" t="s">
        <v>371</v>
      </c>
      <c r="C31" s="383">
        <v>380</v>
      </c>
      <c r="D31" s="383">
        <v>11</v>
      </c>
      <c r="E31" s="383">
        <v>11</v>
      </c>
      <c r="F31" s="383">
        <v>28</v>
      </c>
      <c r="G31" s="337">
        <v>35</v>
      </c>
      <c r="H31" s="383">
        <v>6</v>
      </c>
      <c r="I31" s="383" t="s">
        <v>4</v>
      </c>
      <c r="J31" s="383">
        <v>2</v>
      </c>
      <c r="K31" s="383" t="s">
        <v>1</v>
      </c>
      <c r="L31" s="383">
        <v>0.5</v>
      </c>
      <c r="M31" s="383">
        <v>6</v>
      </c>
      <c r="N31" s="384" t="s">
        <v>351</v>
      </c>
      <c r="O31" s="381">
        <v>0.8</v>
      </c>
      <c r="T31" s="315">
        <v>11</v>
      </c>
    </row>
    <row r="32" spans="1:21" s="315" customFormat="1" x14ac:dyDescent="0.35">
      <c r="A32" s="381">
        <v>5</v>
      </c>
      <c r="B32" s="382" t="s">
        <v>372</v>
      </c>
      <c r="C32" s="383">
        <v>380</v>
      </c>
      <c r="D32" s="383">
        <v>11</v>
      </c>
      <c r="E32" s="383">
        <v>12</v>
      </c>
      <c r="F32" s="383">
        <v>28</v>
      </c>
      <c r="G32" s="337">
        <v>35</v>
      </c>
      <c r="H32" s="383">
        <v>6</v>
      </c>
      <c r="I32" s="383" t="s">
        <v>4</v>
      </c>
      <c r="J32" s="383">
        <v>2</v>
      </c>
      <c r="K32" s="383" t="s">
        <v>1</v>
      </c>
      <c r="L32" s="383">
        <v>0.5</v>
      </c>
      <c r="M32" s="383">
        <v>6</v>
      </c>
      <c r="N32" s="384" t="s">
        <v>351</v>
      </c>
      <c r="O32" s="381">
        <v>0.8</v>
      </c>
      <c r="T32" s="315">
        <v>12</v>
      </c>
    </row>
    <row r="33" spans="1:27" s="315" customFormat="1" x14ac:dyDescent="0.35">
      <c r="A33" s="383">
        <v>6</v>
      </c>
      <c r="B33" s="382" t="s">
        <v>373</v>
      </c>
      <c r="C33" s="383">
        <v>270</v>
      </c>
      <c r="D33" s="383">
        <v>7</v>
      </c>
      <c r="E33" s="383">
        <v>7</v>
      </c>
      <c r="F33" s="383">
        <v>28</v>
      </c>
      <c r="G33" s="337">
        <v>35</v>
      </c>
      <c r="H33" s="383">
        <v>6</v>
      </c>
      <c r="I33" s="383" t="s">
        <v>4</v>
      </c>
      <c r="J33" s="383">
        <v>2</v>
      </c>
      <c r="K33" s="383" t="s">
        <v>1</v>
      </c>
      <c r="L33" s="383">
        <v>0.5</v>
      </c>
      <c r="M33" s="383">
        <v>6</v>
      </c>
      <c r="N33" s="384" t="s">
        <v>351</v>
      </c>
      <c r="O33" s="381">
        <v>0.8</v>
      </c>
      <c r="T33" s="315">
        <v>7</v>
      </c>
    </row>
    <row r="34" spans="1:27" s="315" customFormat="1" x14ac:dyDescent="0.35">
      <c r="A34" s="383">
        <v>7</v>
      </c>
      <c r="B34" s="382" t="s">
        <v>374</v>
      </c>
      <c r="C34" s="383">
        <v>180</v>
      </c>
      <c r="D34" s="383">
        <v>5</v>
      </c>
      <c r="E34" s="383">
        <v>5</v>
      </c>
      <c r="F34" s="383">
        <v>20</v>
      </c>
      <c r="G34" s="337">
        <v>35</v>
      </c>
      <c r="H34" s="383">
        <v>5</v>
      </c>
      <c r="I34" s="383" t="s">
        <v>4</v>
      </c>
      <c r="J34" s="383">
        <v>1</v>
      </c>
      <c r="K34" s="383" t="s">
        <v>1</v>
      </c>
      <c r="L34" s="383">
        <v>0.5</v>
      </c>
      <c r="M34" s="383">
        <v>6</v>
      </c>
      <c r="N34" s="384" t="s">
        <v>351</v>
      </c>
      <c r="O34" s="381">
        <v>0.8</v>
      </c>
      <c r="S34" s="315">
        <v>5</v>
      </c>
    </row>
    <row r="35" spans="1:27" x14ac:dyDescent="0.35">
      <c r="A35" s="383">
        <v>8</v>
      </c>
      <c r="B35" s="382" t="s">
        <v>375</v>
      </c>
      <c r="C35" s="383">
        <v>750</v>
      </c>
      <c r="D35" s="383">
        <v>17</v>
      </c>
      <c r="E35" s="383">
        <v>17</v>
      </c>
      <c r="F35" s="383">
        <v>28</v>
      </c>
      <c r="G35" s="337">
        <v>35</v>
      </c>
      <c r="H35" s="383">
        <v>8</v>
      </c>
      <c r="I35" s="383" t="s">
        <v>4</v>
      </c>
      <c r="J35" s="383">
        <v>2</v>
      </c>
      <c r="K35" s="383" t="s">
        <v>1</v>
      </c>
      <c r="L35" s="383">
        <v>0.5</v>
      </c>
      <c r="M35" s="383">
        <v>6</v>
      </c>
      <c r="N35" s="384" t="s">
        <v>351</v>
      </c>
      <c r="O35" s="381">
        <v>0.8</v>
      </c>
      <c r="T35" s="315">
        <v>17</v>
      </c>
    </row>
    <row r="36" spans="1:27" x14ac:dyDescent="0.35">
      <c r="A36" s="383">
        <v>9</v>
      </c>
      <c r="B36" s="382" t="s">
        <v>376</v>
      </c>
      <c r="C36" s="383">
        <v>170</v>
      </c>
      <c r="D36" s="383">
        <v>5</v>
      </c>
      <c r="E36" s="383">
        <v>5</v>
      </c>
      <c r="F36" s="383">
        <v>28</v>
      </c>
      <c r="G36" s="337">
        <v>35</v>
      </c>
      <c r="H36" s="383">
        <v>6</v>
      </c>
      <c r="I36" s="383" t="s">
        <v>4</v>
      </c>
      <c r="J36" s="383">
        <v>2</v>
      </c>
      <c r="K36" s="383" t="s">
        <v>1</v>
      </c>
      <c r="L36" s="383">
        <v>0.5</v>
      </c>
      <c r="M36" s="383">
        <v>6</v>
      </c>
      <c r="N36" s="384" t="s">
        <v>351</v>
      </c>
      <c r="O36" s="381">
        <v>0.8</v>
      </c>
      <c r="T36" s="315">
        <v>5</v>
      </c>
    </row>
    <row r="37" spans="1:27" x14ac:dyDescent="0.35">
      <c r="A37" s="383">
        <v>10</v>
      </c>
      <c r="B37" s="382" t="s">
        <v>377</v>
      </c>
      <c r="C37" s="383">
        <v>150</v>
      </c>
      <c r="D37" s="383">
        <v>4</v>
      </c>
      <c r="E37" s="383">
        <v>4</v>
      </c>
      <c r="F37" s="383">
        <v>28</v>
      </c>
      <c r="G37" s="337">
        <v>35</v>
      </c>
      <c r="H37" s="383">
        <v>6</v>
      </c>
      <c r="I37" s="383" t="s">
        <v>4</v>
      </c>
      <c r="J37" s="383">
        <v>2</v>
      </c>
      <c r="K37" s="383" t="s">
        <v>1</v>
      </c>
      <c r="L37" s="383">
        <v>0.5</v>
      </c>
      <c r="M37" s="383">
        <v>6</v>
      </c>
      <c r="N37" s="384" t="s">
        <v>351</v>
      </c>
      <c r="O37" s="381">
        <v>0.8</v>
      </c>
      <c r="T37" s="315">
        <v>4</v>
      </c>
    </row>
    <row r="38" spans="1:27" x14ac:dyDescent="0.35">
      <c r="A38" s="383">
        <v>11</v>
      </c>
      <c r="B38" s="382" t="s">
        <v>378</v>
      </c>
      <c r="C38" s="383">
        <v>90</v>
      </c>
      <c r="D38" s="383">
        <v>3</v>
      </c>
      <c r="E38" s="383">
        <v>3</v>
      </c>
      <c r="F38" s="383">
        <v>20</v>
      </c>
      <c r="G38" s="337">
        <v>35</v>
      </c>
      <c r="H38" s="383">
        <v>5</v>
      </c>
      <c r="I38" s="383" t="s">
        <v>4</v>
      </c>
      <c r="J38" s="383">
        <v>1</v>
      </c>
      <c r="K38" s="383" t="s">
        <v>1</v>
      </c>
      <c r="L38" s="383">
        <v>0.5</v>
      </c>
      <c r="M38" s="383">
        <v>6</v>
      </c>
      <c r="N38" s="384" t="s">
        <v>351</v>
      </c>
      <c r="O38" s="381">
        <v>0.8</v>
      </c>
      <c r="S38">
        <v>3</v>
      </c>
    </row>
    <row r="39" spans="1:27" x14ac:dyDescent="0.35">
      <c r="A39" s="383">
        <v>13</v>
      </c>
      <c r="B39" s="382" t="s">
        <v>379</v>
      </c>
      <c r="C39" s="383">
        <v>350</v>
      </c>
      <c r="D39" s="383">
        <v>11</v>
      </c>
      <c r="E39" s="383">
        <v>11</v>
      </c>
      <c r="F39" s="383">
        <v>28</v>
      </c>
      <c r="G39" s="337">
        <v>35</v>
      </c>
      <c r="H39" s="383">
        <v>7</v>
      </c>
      <c r="I39" s="383" t="s">
        <v>4</v>
      </c>
      <c r="J39" s="383">
        <v>2</v>
      </c>
      <c r="K39" s="383" t="s">
        <v>1</v>
      </c>
      <c r="L39" s="383">
        <v>0.5</v>
      </c>
      <c r="M39" s="383">
        <v>6</v>
      </c>
      <c r="N39" s="384" t="s">
        <v>351</v>
      </c>
      <c r="O39" s="381">
        <v>0.8</v>
      </c>
      <c r="T39">
        <v>11</v>
      </c>
    </row>
    <row r="40" spans="1:27" x14ac:dyDescent="0.35">
      <c r="A40" s="383">
        <v>14</v>
      </c>
      <c r="B40" s="382" t="s">
        <v>380</v>
      </c>
      <c r="C40" s="383">
        <v>320</v>
      </c>
      <c r="D40" s="383">
        <v>7</v>
      </c>
      <c r="E40" s="383">
        <v>7</v>
      </c>
      <c r="F40" s="383">
        <v>28</v>
      </c>
      <c r="G40" s="337">
        <v>35</v>
      </c>
      <c r="H40" s="383">
        <v>6</v>
      </c>
      <c r="I40" s="383" t="s">
        <v>4</v>
      </c>
      <c r="J40" s="383">
        <v>2</v>
      </c>
      <c r="K40" s="383" t="s">
        <v>1</v>
      </c>
      <c r="L40" s="383">
        <v>0.5</v>
      </c>
      <c r="M40" s="383">
        <v>6</v>
      </c>
      <c r="N40" s="384" t="s">
        <v>351</v>
      </c>
      <c r="O40" s="381">
        <v>0.8</v>
      </c>
      <c r="T40">
        <v>7</v>
      </c>
    </row>
    <row r="41" spans="1:27" s="395" customFormat="1" x14ac:dyDescent="0.35">
      <c r="A41" s="390"/>
      <c r="B41" s="391"/>
      <c r="C41" s="390"/>
      <c r="D41" s="390">
        <f>SUM(D30:D40)</f>
        <v>91</v>
      </c>
      <c r="E41" s="390">
        <f>SUM(E30:E40)</f>
        <v>92</v>
      </c>
      <c r="F41" s="390"/>
      <c r="G41" s="392"/>
      <c r="H41" s="390"/>
      <c r="I41" s="390"/>
      <c r="J41" s="390"/>
      <c r="K41" s="390"/>
      <c r="L41" s="390"/>
      <c r="M41" s="390"/>
      <c r="N41" s="393"/>
      <c r="O41" s="394"/>
      <c r="R41" s="396" t="s">
        <v>381</v>
      </c>
      <c r="S41" s="390">
        <f>SUM(S7:S40)</f>
        <v>87</v>
      </c>
      <c r="T41" s="390">
        <f>SUM(T7:T40)</f>
        <v>117</v>
      </c>
      <c r="U41" s="390">
        <f>SUM(U7:U40)</f>
        <v>24</v>
      </c>
      <c r="V41" s="397"/>
      <c r="W41" s="397"/>
      <c r="X41" s="396" t="s">
        <v>381</v>
      </c>
      <c r="Y41" s="390">
        <v>87</v>
      </c>
      <c r="Z41" s="390">
        <v>117</v>
      </c>
      <c r="AA41" s="390">
        <v>24</v>
      </c>
    </row>
    <row r="42" spans="1:27" s="395" customFormat="1" x14ac:dyDescent="0.35">
      <c r="A42" s="390"/>
      <c r="B42" s="391"/>
      <c r="C42" s="390"/>
      <c r="D42" s="390">
        <f>D24+D41</f>
        <v>227</v>
      </c>
      <c r="E42" s="390">
        <f>E24+E41</f>
        <v>228</v>
      </c>
      <c r="F42" s="390"/>
      <c r="G42" s="392"/>
      <c r="H42" s="390"/>
      <c r="I42" s="390"/>
      <c r="J42" s="390"/>
      <c r="K42" s="390"/>
      <c r="L42" s="390"/>
      <c r="M42" s="390"/>
      <c r="N42" s="393"/>
      <c r="O42" s="394"/>
      <c r="R42" s="396" t="s">
        <v>382</v>
      </c>
      <c r="S42" s="317">
        <v>20</v>
      </c>
      <c r="T42" s="317">
        <v>28</v>
      </c>
      <c r="U42" s="317">
        <v>38.1</v>
      </c>
      <c r="V42" s="397"/>
      <c r="W42" s="397"/>
      <c r="X42" s="396" t="s">
        <v>383</v>
      </c>
      <c r="Y42" s="390">
        <v>61</v>
      </c>
      <c r="Z42" s="390">
        <v>80</v>
      </c>
      <c r="AA42" s="390">
        <v>80</v>
      </c>
    </row>
    <row r="43" spans="1:27" s="395" customFormat="1" x14ac:dyDescent="0.35">
      <c r="A43" s="390"/>
      <c r="B43" s="391"/>
      <c r="C43" s="390"/>
      <c r="D43" s="390"/>
      <c r="E43" s="390"/>
      <c r="F43" s="390"/>
      <c r="G43" s="392"/>
      <c r="H43" s="390"/>
      <c r="I43" s="390"/>
      <c r="J43" s="390"/>
      <c r="K43" s="390"/>
      <c r="L43" s="390"/>
      <c r="M43" s="390"/>
      <c r="N43" s="393"/>
      <c r="O43" s="394"/>
      <c r="X43" s="398" t="s">
        <v>384</v>
      </c>
    </row>
    <row r="44" spans="1:27" s="395" customFormat="1" x14ac:dyDescent="0.35">
      <c r="A44" s="390"/>
      <c r="B44" s="391"/>
      <c r="C44" s="390"/>
      <c r="D44" s="390"/>
      <c r="E44" s="390"/>
      <c r="F44" s="390"/>
      <c r="G44" s="392"/>
      <c r="H44" s="390"/>
      <c r="I44" s="390"/>
      <c r="J44" s="390"/>
      <c r="K44" s="390"/>
      <c r="L44" s="390"/>
      <c r="M44" s="390"/>
      <c r="N44" s="393"/>
      <c r="O44" s="394"/>
    </row>
    <row r="45" spans="1:27" s="315" customFormat="1" x14ac:dyDescent="0.35">
      <c r="A45" s="555" t="s">
        <v>385</v>
      </c>
      <c r="B45" s="556"/>
      <c r="C45" s="556"/>
      <c r="D45" s="556"/>
      <c r="E45" s="556"/>
      <c r="F45" s="556"/>
      <c r="G45" s="556"/>
      <c r="H45" s="556"/>
      <c r="I45" s="556"/>
      <c r="J45" s="556"/>
      <c r="K45" s="556"/>
      <c r="L45" s="556"/>
      <c r="M45" s="556"/>
      <c r="N45" s="556"/>
      <c r="O45" s="557"/>
      <c r="S45" s="399">
        <f>S41*S42+T41*T42+U41*U42</f>
        <v>5930.4</v>
      </c>
      <c r="T45" s="372"/>
      <c r="U45" s="372"/>
      <c r="V45" s="372"/>
      <c r="W45" s="372"/>
      <c r="X45" s="372"/>
      <c r="Y45" s="399">
        <f>Y41*Y42+Z41*Z42+AA41*AA42</f>
        <v>16587</v>
      </c>
    </row>
    <row r="46" spans="1:27" x14ac:dyDescent="0.35">
      <c r="A46" s="383">
        <v>1</v>
      </c>
      <c r="B46" s="386" t="s">
        <v>386</v>
      </c>
      <c r="C46" s="383" t="s">
        <v>387</v>
      </c>
      <c r="D46" s="383">
        <v>7</v>
      </c>
      <c r="E46" s="383">
        <v>7</v>
      </c>
      <c r="F46" s="383">
        <v>20</v>
      </c>
      <c r="G46" s="337">
        <v>30</v>
      </c>
      <c r="H46" s="383">
        <v>5</v>
      </c>
      <c r="I46" s="383" t="s">
        <v>4</v>
      </c>
      <c r="J46" s="383">
        <v>1</v>
      </c>
      <c r="K46" s="383" t="s">
        <v>1</v>
      </c>
      <c r="L46" s="383">
        <v>0.5</v>
      </c>
      <c r="M46" s="383">
        <v>6</v>
      </c>
      <c r="N46" s="384" t="s">
        <v>351</v>
      </c>
      <c r="O46" s="381">
        <v>0.8</v>
      </c>
    </row>
    <row r="47" spans="1:27" x14ac:dyDescent="0.35">
      <c r="A47" s="383">
        <v>2</v>
      </c>
      <c r="B47" s="386" t="s">
        <v>388</v>
      </c>
      <c r="C47" s="383" t="s">
        <v>389</v>
      </c>
      <c r="D47" s="383">
        <v>6</v>
      </c>
      <c r="E47" s="383">
        <v>6</v>
      </c>
      <c r="F47" s="383">
        <v>20</v>
      </c>
      <c r="G47" s="337">
        <v>15</v>
      </c>
      <c r="H47" s="383">
        <v>5</v>
      </c>
      <c r="I47" s="383" t="s">
        <v>390</v>
      </c>
      <c r="J47" s="383">
        <v>1</v>
      </c>
      <c r="K47" s="383" t="s">
        <v>1</v>
      </c>
      <c r="L47" s="383">
        <v>0.5</v>
      </c>
      <c r="M47" s="383">
        <v>4</v>
      </c>
      <c r="N47" s="384" t="s">
        <v>351</v>
      </c>
      <c r="O47" s="381">
        <v>0.8</v>
      </c>
      <c r="S47" s="549" t="s">
        <v>391</v>
      </c>
      <c r="T47" s="549"/>
      <c r="U47" s="549"/>
      <c r="V47" s="549"/>
      <c r="W47" s="549"/>
      <c r="X47" s="549"/>
      <c r="Y47" s="549"/>
    </row>
    <row r="48" spans="1:27" x14ac:dyDescent="0.35">
      <c r="D48" s="3">
        <f>SUM(D46:D47)</f>
        <v>13</v>
      </c>
      <c r="E48" s="3">
        <f>SUM(E46:E47)</f>
        <v>13</v>
      </c>
    </row>
    <row r="52" spans="2:16" x14ac:dyDescent="0.35">
      <c r="C52" s="400"/>
      <c r="D52" s="400"/>
      <c r="E52" s="400"/>
      <c r="F52" s="400"/>
      <c r="G52" s="400"/>
      <c r="H52" s="400"/>
      <c r="I52" s="400"/>
      <c r="J52" s="400"/>
      <c r="K52" s="400"/>
      <c r="L52" s="400"/>
      <c r="M52" s="400"/>
      <c r="N52" s="400"/>
      <c r="O52" s="400"/>
      <c r="P52" s="400"/>
    </row>
    <row r="53" spans="2:16" x14ac:dyDescent="0.35">
      <c r="B53" s="401" t="s">
        <v>392</v>
      </c>
      <c r="C53" s="400"/>
      <c r="D53" s="400"/>
      <c r="E53" s="400"/>
      <c r="F53" s="400"/>
      <c r="G53" s="400"/>
      <c r="H53" s="400"/>
      <c r="I53" s="400"/>
      <c r="J53" s="400"/>
      <c r="K53" s="400"/>
      <c r="L53" s="400"/>
      <c r="M53" s="400"/>
      <c r="N53" s="400"/>
      <c r="O53" s="400"/>
      <c r="P53" s="400"/>
    </row>
    <row r="54" spans="2:16" x14ac:dyDescent="0.35">
      <c r="G54" s="3"/>
      <c r="M54" s="400" t="s">
        <v>393</v>
      </c>
      <c r="N54" s="401" t="s">
        <v>394</v>
      </c>
      <c r="O54" s="371" t="s">
        <v>395</v>
      </c>
      <c r="P54" s="401"/>
    </row>
    <row r="55" spans="2:16" x14ac:dyDescent="0.35">
      <c r="B55" s="402" t="s">
        <v>396</v>
      </c>
      <c r="C55" s="402" t="s">
        <v>397</v>
      </c>
      <c r="D55" s="402" t="s">
        <v>398</v>
      </c>
      <c r="E55" s="402" t="s">
        <v>399</v>
      </c>
      <c r="F55" s="402"/>
      <c r="G55" s="402"/>
      <c r="H55" s="402"/>
      <c r="I55" s="402"/>
      <c r="J55" s="402"/>
      <c r="K55" s="402"/>
      <c r="L55" s="402"/>
      <c r="M55" s="402"/>
      <c r="N55" s="403"/>
      <c r="O55" s="403"/>
      <c r="P55" s="402"/>
    </row>
    <row r="56" spans="2:16" x14ac:dyDescent="0.35">
      <c r="B56" s="402" t="s">
        <v>400</v>
      </c>
      <c r="C56" s="402">
        <v>87</v>
      </c>
      <c r="D56" s="402">
        <v>117</v>
      </c>
      <c r="E56" s="402">
        <v>24</v>
      </c>
      <c r="F56" s="402"/>
      <c r="G56" s="402"/>
      <c r="H56" s="402"/>
      <c r="I56" s="402"/>
      <c r="J56" s="402"/>
      <c r="K56" s="402"/>
      <c r="L56" s="402"/>
      <c r="M56" s="402"/>
      <c r="N56" s="402">
        <v>7</v>
      </c>
      <c r="O56" s="402">
        <v>6</v>
      </c>
      <c r="P56" s="402"/>
    </row>
    <row r="57" spans="2:16" x14ac:dyDescent="0.35">
      <c r="B57" s="402" t="s">
        <v>401</v>
      </c>
      <c r="C57" s="558" t="s">
        <v>402</v>
      </c>
      <c r="D57" s="559"/>
      <c r="E57" s="559"/>
      <c r="F57" s="559"/>
      <c r="G57" s="559"/>
      <c r="H57" s="559"/>
      <c r="I57" s="559"/>
      <c r="J57" s="559"/>
      <c r="K57" s="559"/>
      <c r="L57" s="559"/>
      <c r="M57" s="559"/>
      <c r="N57" s="559"/>
      <c r="O57" s="559"/>
      <c r="P57" s="560"/>
    </row>
    <row r="58" spans="2:16" x14ac:dyDescent="0.35">
      <c r="B58" s="402" t="s">
        <v>403</v>
      </c>
      <c r="C58" s="558">
        <v>241</v>
      </c>
      <c r="D58" s="559"/>
      <c r="E58" s="559"/>
      <c r="F58" s="559"/>
      <c r="G58" s="559"/>
      <c r="H58" s="559"/>
      <c r="I58" s="559"/>
      <c r="J58" s="559"/>
      <c r="K58" s="559"/>
      <c r="L58" s="559"/>
      <c r="M58" s="559"/>
      <c r="N58" s="559"/>
      <c r="O58" s="559"/>
      <c r="P58" s="560"/>
    </row>
    <row r="59" spans="2:16" x14ac:dyDescent="0.35">
      <c r="B59" s="404" t="s">
        <v>404</v>
      </c>
      <c r="C59" s="558">
        <v>6</v>
      </c>
      <c r="D59" s="559"/>
      <c r="E59" s="559"/>
      <c r="F59" s="559"/>
      <c r="G59" s="559"/>
      <c r="H59" s="559"/>
      <c r="I59" s="559"/>
      <c r="J59" s="559"/>
      <c r="K59" s="559"/>
      <c r="L59" s="559"/>
      <c r="M59" s="559"/>
      <c r="N59" s="559"/>
      <c r="O59" s="559"/>
      <c r="P59" s="560"/>
    </row>
    <row r="60" spans="2:16" x14ac:dyDescent="0.35">
      <c r="B60" s="404" t="s">
        <v>405</v>
      </c>
      <c r="C60" s="558">
        <v>2</v>
      </c>
      <c r="D60" s="559"/>
      <c r="E60" s="559"/>
      <c r="F60" s="559"/>
      <c r="G60" s="559"/>
      <c r="H60" s="559"/>
      <c r="I60" s="559"/>
      <c r="J60" s="559"/>
      <c r="K60" s="559"/>
      <c r="L60" s="559"/>
      <c r="M60" s="559"/>
      <c r="N60" s="559"/>
      <c r="O60" s="559"/>
      <c r="P60" s="560"/>
    </row>
    <row r="61" spans="2:16" x14ac:dyDescent="0.35">
      <c r="B61" s="404" t="s">
        <v>406</v>
      </c>
      <c r="C61" s="558">
        <v>227</v>
      </c>
      <c r="D61" s="559"/>
      <c r="E61" s="559"/>
      <c r="F61" s="559"/>
      <c r="G61" s="559"/>
      <c r="H61" s="559"/>
      <c r="I61" s="559"/>
      <c r="J61" s="559"/>
      <c r="K61" s="559"/>
      <c r="L61" s="559"/>
      <c r="M61" s="559"/>
      <c r="N61" s="559"/>
      <c r="O61" s="559"/>
      <c r="P61" s="560"/>
    </row>
    <row r="62" spans="2:16" x14ac:dyDescent="0.35">
      <c r="C62" s="400"/>
      <c r="D62" s="400"/>
      <c r="E62" s="400"/>
      <c r="F62" s="400"/>
      <c r="G62" s="400"/>
      <c r="H62" s="400"/>
      <c r="I62" s="400"/>
      <c r="J62" s="400"/>
      <c r="K62" s="400"/>
      <c r="L62" s="400"/>
      <c r="M62" s="400"/>
      <c r="N62" s="400"/>
      <c r="O62" s="400"/>
      <c r="P62" s="400"/>
    </row>
    <row r="63" spans="2:16" x14ac:dyDescent="0.35">
      <c r="C63" s="400"/>
      <c r="D63" s="400"/>
      <c r="E63" s="400"/>
      <c r="F63" s="400"/>
      <c r="G63" s="400"/>
      <c r="H63" s="400"/>
      <c r="I63" s="400"/>
      <c r="J63" s="400"/>
      <c r="K63" s="400"/>
      <c r="L63" s="400"/>
      <c r="M63" s="400"/>
      <c r="N63" s="400"/>
      <c r="O63" s="400"/>
      <c r="P63" s="400"/>
    </row>
    <row r="64" spans="2:16" x14ac:dyDescent="0.35">
      <c r="C64" s="400"/>
      <c r="D64" s="400"/>
      <c r="E64" s="400"/>
      <c r="F64" s="400"/>
      <c r="G64" s="400"/>
      <c r="H64" s="400"/>
      <c r="I64" s="400"/>
      <c r="J64" s="400"/>
      <c r="K64" s="400"/>
      <c r="L64" s="400"/>
      <c r="M64" s="400"/>
      <c r="N64" s="400"/>
      <c r="O64" s="400"/>
      <c r="P64" s="400"/>
    </row>
  </sheetData>
  <mergeCells count="11">
    <mergeCell ref="C57:P57"/>
    <mergeCell ref="C58:P58"/>
    <mergeCell ref="C59:P59"/>
    <mergeCell ref="C60:P60"/>
    <mergeCell ref="C61:P61"/>
    <mergeCell ref="S47:Y47"/>
    <mergeCell ref="D5:F5"/>
    <mergeCell ref="G5:O5"/>
    <mergeCell ref="D28:F28"/>
    <mergeCell ref="G28:O28"/>
    <mergeCell ref="A45:O4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9"/>
  <sheetViews>
    <sheetView workbookViewId="0">
      <selection activeCell="A7" sqref="A7:L9"/>
    </sheetView>
  </sheetViews>
  <sheetFormatPr defaultRowHeight="14.5" x14ac:dyDescent="0.35"/>
  <cols>
    <col min="1" max="1" width="57.453125" customWidth="1"/>
  </cols>
  <sheetData>
    <row r="6" spans="1:12" ht="15" thickBot="1" x14ac:dyDescent="0.4"/>
    <row r="7" spans="1:12" ht="43.5" thickBot="1" x14ac:dyDescent="0.4">
      <c r="A7" s="405"/>
      <c r="B7" s="406" t="s">
        <v>407</v>
      </c>
      <c r="C7" s="406" t="s">
        <v>408</v>
      </c>
      <c r="D7" s="406" t="s">
        <v>409</v>
      </c>
      <c r="E7" s="406" t="s">
        <v>410</v>
      </c>
      <c r="F7" s="406" t="s">
        <v>411</v>
      </c>
      <c r="G7" s="406" t="s">
        <v>412</v>
      </c>
      <c r="H7" s="406" t="s">
        <v>413</v>
      </c>
      <c r="I7" s="406" t="s">
        <v>414</v>
      </c>
      <c r="J7" s="406" t="s">
        <v>415</v>
      </c>
      <c r="K7" s="406" t="s">
        <v>416</v>
      </c>
      <c r="L7" s="407" t="s">
        <v>123</v>
      </c>
    </row>
    <row r="8" spans="1:12" ht="44.5" thickBot="1" x14ac:dyDescent="0.4">
      <c r="A8" s="408" t="s">
        <v>417</v>
      </c>
      <c r="B8" s="409">
        <v>2100</v>
      </c>
      <c r="C8" s="407">
        <v>2100</v>
      </c>
      <c r="D8" s="407">
        <v>2100</v>
      </c>
      <c r="E8" s="407">
        <v>2100</v>
      </c>
      <c r="F8" s="407">
        <v>3400</v>
      </c>
      <c r="G8" s="407">
        <v>2100</v>
      </c>
      <c r="H8" s="407">
        <v>2100</v>
      </c>
      <c r="I8" s="407">
        <v>2100</v>
      </c>
      <c r="J8" s="407">
        <v>2100</v>
      </c>
      <c r="K8" s="407">
        <v>3400</v>
      </c>
      <c r="L8" s="410">
        <f>B8+C8+D8+E8+F8+G8+H8+I8+J8+K8</f>
        <v>23600</v>
      </c>
    </row>
    <row r="9" spans="1:12" ht="44.5" thickBot="1" x14ac:dyDescent="0.4">
      <c r="A9" s="411" t="s">
        <v>418</v>
      </c>
      <c r="B9" s="412">
        <v>4500</v>
      </c>
      <c r="C9" s="412">
        <v>4500</v>
      </c>
      <c r="D9" s="412">
        <v>4500</v>
      </c>
      <c r="E9" s="412">
        <v>4500</v>
      </c>
      <c r="F9" s="412">
        <v>6500</v>
      </c>
      <c r="G9" s="412">
        <v>4500</v>
      </c>
      <c r="H9" s="412">
        <v>4500</v>
      </c>
      <c r="I9" s="412">
        <v>5500</v>
      </c>
      <c r="J9" s="412">
        <v>4500</v>
      </c>
      <c r="K9" s="412">
        <v>6500</v>
      </c>
      <c r="L9" s="410">
        <f>B9+C9+D9+E9+F9+G9+H9+I9+J9+K9</f>
        <v>50000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opLeftCell="A64" workbookViewId="0">
      <selection activeCell="D46" sqref="D46"/>
    </sheetView>
  </sheetViews>
  <sheetFormatPr defaultRowHeight="14.5" x14ac:dyDescent="0.35"/>
  <cols>
    <col min="1" max="1" width="4.453125" style="3" customWidth="1"/>
    <col min="2" max="2" width="23" customWidth="1"/>
    <col min="3" max="3" width="9.26953125" style="3" customWidth="1"/>
    <col min="4" max="4" width="7.08984375" style="3" customWidth="1"/>
    <col min="5" max="5" width="10.36328125" style="3" customWidth="1"/>
    <col min="6" max="6" width="10.90625" style="3" customWidth="1"/>
    <col min="7" max="7" width="10" customWidth="1"/>
    <col min="8" max="8" width="11.453125" style="3" customWidth="1"/>
    <col min="9" max="9" width="11" style="3" customWidth="1"/>
    <col min="10" max="10" width="10" style="3" customWidth="1"/>
    <col min="11" max="11" width="12.1796875" style="3" customWidth="1"/>
    <col min="12" max="12" width="15.1796875" style="3" customWidth="1"/>
    <col min="13" max="13" width="10.453125" style="3" customWidth="1"/>
    <col min="14" max="14" width="2.90625" customWidth="1"/>
    <col min="15" max="15" width="4.90625" customWidth="1"/>
  </cols>
  <sheetData>
    <row r="1" spans="1:16" ht="18.5" x14ac:dyDescent="0.45">
      <c r="B1" s="369" t="s">
        <v>419</v>
      </c>
      <c r="C1" s="370"/>
      <c r="D1" s="370"/>
      <c r="E1" s="370"/>
      <c r="F1" s="370"/>
    </row>
    <row r="5" spans="1:16" s="372" customFormat="1" ht="45" customHeight="1" x14ac:dyDescent="0.35">
      <c r="A5" s="375" t="s">
        <v>5</v>
      </c>
      <c r="B5" s="376" t="s">
        <v>0</v>
      </c>
      <c r="C5" s="375" t="s">
        <v>334</v>
      </c>
      <c r="D5" s="375" t="s">
        <v>335</v>
      </c>
      <c r="E5" s="375" t="s">
        <v>336</v>
      </c>
      <c r="F5" s="375" t="s">
        <v>420</v>
      </c>
      <c r="G5" s="413" t="s">
        <v>338</v>
      </c>
      <c r="H5" s="414" t="s">
        <v>339</v>
      </c>
      <c r="I5" s="414" t="s">
        <v>340</v>
      </c>
      <c r="J5" s="414" t="s">
        <v>341</v>
      </c>
      <c r="K5" s="414" t="s">
        <v>342</v>
      </c>
      <c r="L5" s="414" t="s">
        <v>343</v>
      </c>
      <c r="M5" s="414" t="s">
        <v>344</v>
      </c>
    </row>
    <row r="6" spans="1:16" s="315" customFormat="1" x14ac:dyDescent="0.35">
      <c r="A6" s="381">
        <v>1</v>
      </c>
      <c r="B6" s="382" t="s">
        <v>350</v>
      </c>
      <c r="C6" s="383">
        <v>350</v>
      </c>
      <c r="D6" s="383">
        <v>4</v>
      </c>
      <c r="E6" s="383">
        <v>4</v>
      </c>
      <c r="F6" s="383" t="s">
        <v>421</v>
      </c>
      <c r="G6" s="337">
        <v>35</v>
      </c>
      <c r="H6" s="383">
        <v>5</v>
      </c>
      <c r="I6" s="383" t="s">
        <v>4</v>
      </c>
      <c r="J6" s="383">
        <v>1</v>
      </c>
      <c r="K6" s="383" t="s">
        <v>1</v>
      </c>
      <c r="L6" s="383">
        <v>0.5</v>
      </c>
      <c r="M6" s="383">
        <v>5</v>
      </c>
      <c r="O6" s="315">
        <f>E6+E7+E10+E12+E21+E23+E27+E28+E31+E34+E47+E50+E52+E53+E59</f>
        <v>32</v>
      </c>
      <c r="P6" s="315" t="s">
        <v>383</v>
      </c>
    </row>
    <row r="7" spans="1:16" s="315" customFormat="1" x14ac:dyDescent="0.35">
      <c r="A7" s="381">
        <v>2</v>
      </c>
      <c r="B7" s="382" t="s">
        <v>352</v>
      </c>
      <c r="C7" s="383">
        <v>230</v>
      </c>
      <c r="D7" s="383">
        <v>2</v>
      </c>
      <c r="E7" s="383">
        <v>2</v>
      </c>
      <c r="F7" s="383" t="s">
        <v>421</v>
      </c>
      <c r="G7" s="337">
        <v>35</v>
      </c>
      <c r="H7" s="383">
        <v>4</v>
      </c>
      <c r="I7" s="383" t="s">
        <v>4</v>
      </c>
      <c r="J7" s="383">
        <v>1</v>
      </c>
      <c r="K7" s="383" t="s">
        <v>1</v>
      </c>
      <c r="L7" s="383">
        <v>0.5</v>
      </c>
      <c r="M7" s="383">
        <v>5</v>
      </c>
      <c r="O7" s="315">
        <f>E9+E11+E13+E15+E17+E20+E22+E25+E33+E46+E49+E51+E55+E56+E57+E60</f>
        <v>37</v>
      </c>
      <c r="P7" s="315" t="s">
        <v>422</v>
      </c>
    </row>
    <row r="8" spans="1:16" s="315" customFormat="1" x14ac:dyDescent="0.35">
      <c r="A8" s="381">
        <v>3</v>
      </c>
      <c r="B8" s="382" t="s">
        <v>353</v>
      </c>
      <c r="C8" s="383">
        <v>370</v>
      </c>
      <c r="D8" s="383">
        <v>10</v>
      </c>
      <c r="E8" s="383">
        <v>2</v>
      </c>
      <c r="F8" s="383" t="s">
        <v>423</v>
      </c>
      <c r="G8" s="337">
        <v>35</v>
      </c>
      <c r="H8" s="383">
        <v>7</v>
      </c>
      <c r="I8" s="383" t="s">
        <v>4</v>
      </c>
      <c r="J8" s="383">
        <v>2</v>
      </c>
      <c r="K8" s="383" t="s">
        <v>1</v>
      </c>
      <c r="L8" s="383">
        <v>0.5</v>
      </c>
      <c r="M8" s="383">
        <v>8</v>
      </c>
      <c r="O8" s="315">
        <f>E8+E14+E16+E19+E24+E26+E29+E30+E32+E48+E54+E58+E61</f>
        <v>20</v>
      </c>
      <c r="P8" s="315" t="s">
        <v>424</v>
      </c>
    </row>
    <row r="9" spans="1:16" s="315" customFormat="1" x14ac:dyDescent="0.35">
      <c r="A9" s="381">
        <v>4</v>
      </c>
      <c r="B9" s="382" t="s">
        <v>354</v>
      </c>
      <c r="C9" s="383">
        <v>350</v>
      </c>
      <c r="D9" s="383">
        <v>10</v>
      </c>
      <c r="E9" s="383">
        <v>6</v>
      </c>
      <c r="F9" s="383" t="s">
        <v>425</v>
      </c>
      <c r="G9" s="337">
        <v>35</v>
      </c>
      <c r="H9" s="383">
        <v>7</v>
      </c>
      <c r="I9" s="383" t="s">
        <v>3</v>
      </c>
      <c r="J9" s="383">
        <v>2</v>
      </c>
      <c r="K9" s="383" t="s">
        <v>1</v>
      </c>
      <c r="L9" s="383">
        <v>0.5</v>
      </c>
      <c r="M9" s="383">
        <v>8</v>
      </c>
    </row>
    <row r="10" spans="1:16" s="315" customFormat="1" x14ac:dyDescent="0.35">
      <c r="A10" s="383"/>
      <c r="D10" s="383"/>
      <c r="E10" s="383">
        <v>1</v>
      </c>
      <c r="F10" s="383" t="s">
        <v>426</v>
      </c>
      <c r="G10" s="383"/>
      <c r="H10" s="383"/>
      <c r="I10" s="383"/>
      <c r="J10" s="383"/>
      <c r="K10" s="383"/>
      <c r="L10" s="383"/>
      <c r="M10" s="383"/>
      <c r="O10" s="315">
        <f>E6+E7</f>
        <v>6</v>
      </c>
    </row>
    <row r="11" spans="1:16" s="315" customFormat="1" x14ac:dyDescent="0.35">
      <c r="A11" s="383">
        <v>5</v>
      </c>
      <c r="B11" s="385" t="s">
        <v>355</v>
      </c>
      <c r="C11" s="383">
        <v>315</v>
      </c>
      <c r="D11" s="383">
        <v>5</v>
      </c>
      <c r="E11" s="383">
        <v>2</v>
      </c>
      <c r="F11" s="383" t="s">
        <v>425</v>
      </c>
      <c r="G11" s="383">
        <v>35</v>
      </c>
      <c r="H11" s="383">
        <v>5</v>
      </c>
      <c r="I11" s="383" t="s">
        <v>4</v>
      </c>
      <c r="J11" s="383">
        <v>1</v>
      </c>
      <c r="K11" s="383" t="s">
        <v>1</v>
      </c>
      <c r="L11" s="383">
        <v>0.5</v>
      </c>
      <c r="M11" s="383">
        <v>8</v>
      </c>
    </row>
    <row r="12" spans="1:16" s="315" customFormat="1" x14ac:dyDescent="0.35">
      <c r="A12" s="383"/>
      <c r="B12" s="386"/>
      <c r="C12" s="383"/>
      <c r="D12" s="383"/>
      <c r="E12" s="383">
        <v>2</v>
      </c>
      <c r="F12" s="383" t="s">
        <v>426</v>
      </c>
      <c r="G12" s="383"/>
      <c r="H12" s="383"/>
      <c r="I12" s="383"/>
      <c r="J12" s="383"/>
      <c r="K12" s="383"/>
      <c r="L12" s="383"/>
      <c r="M12" s="383"/>
    </row>
    <row r="13" spans="1:16" s="315" customFormat="1" x14ac:dyDescent="0.35">
      <c r="A13" s="383">
        <v>6</v>
      </c>
      <c r="B13" s="386" t="s">
        <v>356</v>
      </c>
      <c r="C13" s="383">
        <v>250</v>
      </c>
      <c r="D13" s="383">
        <v>6</v>
      </c>
      <c r="E13" s="383">
        <v>1</v>
      </c>
      <c r="F13" s="383" t="s">
        <v>425</v>
      </c>
      <c r="G13" s="383">
        <v>35</v>
      </c>
      <c r="H13" s="383">
        <v>4</v>
      </c>
      <c r="I13" s="383" t="s">
        <v>4</v>
      </c>
      <c r="J13" s="383">
        <v>1</v>
      </c>
      <c r="K13" s="383" t="s">
        <v>1</v>
      </c>
      <c r="L13" s="383">
        <v>0.5</v>
      </c>
      <c r="M13" s="383">
        <v>8</v>
      </c>
    </row>
    <row r="14" spans="1:16" s="315" customFormat="1" x14ac:dyDescent="0.35">
      <c r="A14" s="383">
        <v>7</v>
      </c>
      <c r="B14" s="386" t="s">
        <v>357</v>
      </c>
      <c r="C14" s="383">
        <v>260</v>
      </c>
      <c r="D14" s="383">
        <v>9</v>
      </c>
      <c r="E14" s="383">
        <v>2</v>
      </c>
      <c r="F14" s="383" t="s">
        <v>423</v>
      </c>
      <c r="G14" s="383">
        <v>35</v>
      </c>
      <c r="H14" s="383">
        <v>5</v>
      </c>
      <c r="I14" s="383" t="s">
        <v>3</v>
      </c>
      <c r="J14" s="383">
        <v>1</v>
      </c>
      <c r="K14" s="383" t="s">
        <v>1</v>
      </c>
      <c r="L14" s="383">
        <v>0.5</v>
      </c>
      <c r="M14" s="383">
        <v>8</v>
      </c>
    </row>
    <row r="15" spans="1:16" x14ac:dyDescent="0.35">
      <c r="A15" s="383"/>
      <c r="B15" s="386"/>
      <c r="C15" s="383"/>
      <c r="D15" s="383"/>
      <c r="E15" s="383">
        <v>3</v>
      </c>
      <c r="F15" s="383" t="s">
        <v>425</v>
      </c>
      <c r="G15" s="383"/>
      <c r="H15" s="383"/>
      <c r="I15" s="383"/>
      <c r="J15" s="383"/>
      <c r="K15" s="383"/>
      <c r="L15" s="383"/>
      <c r="M15" s="383"/>
    </row>
    <row r="16" spans="1:16" x14ac:dyDescent="0.35">
      <c r="A16" s="383">
        <v>8</v>
      </c>
      <c r="B16" s="386" t="s">
        <v>358</v>
      </c>
      <c r="C16" s="383">
        <v>180</v>
      </c>
      <c r="D16" s="383">
        <v>6</v>
      </c>
      <c r="E16" s="383">
        <v>1</v>
      </c>
      <c r="F16" s="383" t="s">
        <v>423</v>
      </c>
      <c r="G16" s="383">
        <v>35</v>
      </c>
      <c r="H16" s="383">
        <v>5</v>
      </c>
      <c r="I16" s="383" t="s">
        <v>3</v>
      </c>
      <c r="J16" s="383">
        <v>1</v>
      </c>
      <c r="K16" s="383" t="s">
        <v>1</v>
      </c>
      <c r="L16" s="383">
        <v>0.5</v>
      </c>
      <c r="M16" s="383">
        <v>8</v>
      </c>
    </row>
    <row r="17" spans="1:13" x14ac:dyDescent="0.35">
      <c r="A17" s="383"/>
      <c r="B17" s="386"/>
      <c r="C17" s="383"/>
      <c r="D17" s="383"/>
      <c r="E17" s="383">
        <v>1</v>
      </c>
      <c r="F17" s="383" t="s">
        <v>425</v>
      </c>
      <c r="G17" s="383"/>
      <c r="H17" s="383"/>
      <c r="I17" s="383"/>
      <c r="J17" s="383"/>
      <c r="K17" s="383" t="s">
        <v>1</v>
      </c>
      <c r="L17" s="383"/>
      <c r="M17" s="383"/>
    </row>
    <row r="18" spans="1:13" x14ac:dyDescent="0.35">
      <c r="A18" s="383">
        <v>9</v>
      </c>
      <c r="B18" s="386" t="s">
        <v>359</v>
      </c>
      <c r="C18" s="383">
        <v>200</v>
      </c>
      <c r="D18" s="383"/>
      <c r="E18" s="383"/>
      <c r="F18" s="383"/>
      <c r="G18" s="383">
        <v>35</v>
      </c>
      <c r="H18" s="383">
        <v>3</v>
      </c>
      <c r="I18" s="383" t="s">
        <v>4</v>
      </c>
      <c r="J18" s="383">
        <v>1</v>
      </c>
      <c r="K18" s="383" t="s">
        <v>1</v>
      </c>
      <c r="L18" s="383">
        <v>0.5</v>
      </c>
      <c r="M18" s="383">
        <v>8</v>
      </c>
    </row>
    <row r="19" spans="1:13" x14ac:dyDescent="0.35">
      <c r="A19" s="383">
        <v>10</v>
      </c>
      <c r="B19" s="386" t="s">
        <v>360</v>
      </c>
      <c r="C19" s="383">
        <v>290</v>
      </c>
      <c r="D19" s="383">
        <v>4</v>
      </c>
      <c r="E19" s="383">
        <v>1</v>
      </c>
      <c r="F19" s="383" t="s">
        <v>423</v>
      </c>
      <c r="G19" s="383">
        <v>35</v>
      </c>
      <c r="H19" s="383">
        <v>4</v>
      </c>
      <c r="I19" s="383" t="s">
        <v>4</v>
      </c>
      <c r="J19" s="383">
        <v>1</v>
      </c>
      <c r="K19" s="383" t="s">
        <v>1</v>
      </c>
      <c r="L19" s="383">
        <v>0.5</v>
      </c>
      <c r="M19" s="383">
        <v>8</v>
      </c>
    </row>
    <row r="20" spans="1:13" x14ac:dyDescent="0.35">
      <c r="A20" s="383"/>
      <c r="B20" s="386"/>
      <c r="C20" s="383"/>
      <c r="D20" s="383"/>
      <c r="E20" s="383">
        <v>1</v>
      </c>
      <c r="F20" s="383" t="s">
        <v>425</v>
      </c>
      <c r="G20" s="383"/>
      <c r="H20" s="383"/>
      <c r="I20" s="383"/>
      <c r="J20" s="383"/>
      <c r="K20" s="383"/>
      <c r="L20" s="383"/>
      <c r="M20" s="383"/>
    </row>
    <row r="21" spans="1:13" x14ac:dyDescent="0.35">
      <c r="A21" s="383"/>
      <c r="B21" s="386"/>
      <c r="C21" s="383"/>
      <c r="D21" s="383"/>
      <c r="E21" s="383">
        <v>1</v>
      </c>
      <c r="F21" s="383" t="s">
        <v>426</v>
      </c>
      <c r="G21" s="383"/>
      <c r="H21" s="383"/>
      <c r="I21" s="383"/>
      <c r="J21" s="383"/>
      <c r="K21" s="383"/>
      <c r="L21" s="383"/>
      <c r="M21" s="383"/>
    </row>
    <row r="22" spans="1:13" x14ac:dyDescent="0.35">
      <c r="A22" s="383">
        <v>11</v>
      </c>
      <c r="B22" s="386" t="s">
        <v>427</v>
      </c>
      <c r="C22" s="383">
        <v>200</v>
      </c>
      <c r="D22" s="383">
        <v>6</v>
      </c>
      <c r="E22" s="383">
        <v>4</v>
      </c>
      <c r="F22" s="383" t="s">
        <v>425</v>
      </c>
      <c r="G22" s="383">
        <v>35</v>
      </c>
      <c r="H22" s="383">
        <v>5</v>
      </c>
      <c r="I22" s="383" t="s">
        <v>4</v>
      </c>
      <c r="J22" s="383">
        <v>1</v>
      </c>
      <c r="K22" s="383" t="s">
        <v>1</v>
      </c>
      <c r="L22" s="383">
        <v>0.5</v>
      </c>
      <c r="M22" s="383">
        <v>8</v>
      </c>
    </row>
    <row r="23" spans="1:13" x14ac:dyDescent="0.35">
      <c r="A23" s="383"/>
      <c r="B23" s="386"/>
      <c r="C23" s="383"/>
      <c r="D23" s="383"/>
      <c r="E23" s="383">
        <v>1</v>
      </c>
      <c r="F23" s="383" t="s">
        <v>426</v>
      </c>
      <c r="G23" s="383"/>
      <c r="H23" s="383"/>
      <c r="I23" s="383"/>
      <c r="J23" s="383"/>
      <c r="K23" s="383"/>
      <c r="L23" s="383"/>
      <c r="M23" s="383"/>
    </row>
    <row r="24" spans="1:13" ht="29" x14ac:dyDescent="0.35">
      <c r="A24" s="383">
        <v>12</v>
      </c>
      <c r="B24" s="386" t="s">
        <v>362</v>
      </c>
      <c r="C24" s="383">
        <v>100</v>
      </c>
      <c r="D24" s="383">
        <v>2</v>
      </c>
      <c r="E24" s="383">
        <v>2</v>
      </c>
      <c r="F24" s="383" t="s">
        <v>423</v>
      </c>
      <c r="G24" s="383">
        <v>35</v>
      </c>
      <c r="H24" s="415" t="s">
        <v>428</v>
      </c>
      <c r="I24" s="383" t="s">
        <v>3</v>
      </c>
      <c r="J24" s="383">
        <v>2</v>
      </c>
      <c r="K24" s="383" t="s">
        <v>429</v>
      </c>
      <c r="L24" s="383" t="s">
        <v>430</v>
      </c>
      <c r="M24" s="383">
        <v>8</v>
      </c>
    </row>
    <row r="25" spans="1:13" x14ac:dyDescent="0.35">
      <c r="A25" s="383"/>
      <c r="B25" s="386"/>
      <c r="C25" s="383">
        <v>300</v>
      </c>
      <c r="D25" s="383">
        <v>6</v>
      </c>
      <c r="E25" s="383">
        <v>4</v>
      </c>
      <c r="F25" s="383" t="s">
        <v>425</v>
      </c>
      <c r="G25" s="337">
        <v>35</v>
      </c>
      <c r="H25" s="383">
        <v>7</v>
      </c>
      <c r="I25" s="383" t="s">
        <v>3</v>
      </c>
      <c r="J25" s="383">
        <v>2</v>
      </c>
      <c r="K25" s="383" t="s">
        <v>1</v>
      </c>
      <c r="L25" s="383">
        <v>0.5</v>
      </c>
      <c r="M25" s="383">
        <v>8</v>
      </c>
    </row>
    <row r="26" spans="1:13" x14ac:dyDescent="0.35">
      <c r="A26" s="383"/>
      <c r="B26" s="386"/>
      <c r="C26" s="383"/>
      <c r="D26" s="383"/>
      <c r="E26" s="383">
        <v>1</v>
      </c>
      <c r="F26" s="383" t="s">
        <v>423</v>
      </c>
      <c r="G26" s="403"/>
      <c r="H26" s="402"/>
      <c r="I26" s="402"/>
      <c r="J26" s="402"/>
      <c r="K26" s="402"/>
      <c r="L26" s="402"/>
      <c r="M26" s="402"/>
    </row>
    <row r="27" spans="1:13" x14ac:dyDescent="0.35">
      <c r="A27" s="383">
        <v>13</v>
      </c>
      <c r="B27" s="386" t="s">
        <v>363</v>
      </c>
      <c r="C27" s="383">
        <v>350</v>
      </c>
      <c r="D27" s="383">
        <v>8</v>
      </c>
      <c r="E27" s="383">
        <v>5</v>
      </c>
      <c r="F27" s="383" t="s">
        <v>426</v>
      </c>
      <c r="G27" s="383">
        <v>35</v>
      </c>
      <c r="H27" s="383">
        <v>5</v>
      </c>
      <c r="I27" s="383" t="s">
        <v>4</v>
      </c>
      <c r="J27" s="383">
        <v>1</v>
      </c>
      <c r="K27" s="383" t="s">
        <v>1</v>
      </c>
      <c r="L27" s="383">
        <v>0.5</v>
      </c>
      <c r="M27" s="383">
        <v>8</v>
      </c>
    </row>
    <row r="28" spans="1:13" x14ac:dyDescent="0.35">
      <c r="A28" s="383">
        <v>14</v>
      </c>
      <c r="B28" s="386" t="s">
        <v>364</v>
      </c>
      <c r="C28" s="383">
        <v>190</v>
      </c>
      <c r="D28" s="383">
        <v>5</v>
      </c>
      <c r="E28" s="383">
        <v>1</v>
      </c>
      <c r="F28" s="383" t="s">
        <v>426</v>
      </c>
      <c r="G28" s="383">
        <v>35</v>
      </c>
      <c r="H28" s="383">
        <v>5</v>
      </c>
      <c r="I28" s="383" t="s">
        <v>4</v>
      </c>
      <c r="J28" s="383">
        <v>1</v>
      </c>
      <c r="K28" s="383" t="s">
        <v>1</v>
      </c>
      <c r="L28" s="383">
        <v>0.5</v>
      </c>
      <c r="M28" s="383">
        <v>8</v>
      </c>
    </row>
    <row r="29" spans="1:13" x14ac:dyDescent="0.35">
      <c r="A29" s="383"/>
      <c r="B29" s="386"/>
      <c r="C29" s="383"/>
      <c r="D29" s="383"/>
      <c r="E29" s="383">
        <v>1</v>
      </c>
      <c r="F29" s="383" t="s">
        <v>423</v>
      </c>
      <c r="G29" s="383"/>
      <c r="H29" s="383"/>
      <c r="I29" s="383"/>
      <c r="J29" s="383"/>
      <c r="K29" s="383"/>
      <c r="L29" s="383"/>
      <c r="M29" s="383"/>
    </row>
    <row r="30" spans="1:13" x14ac:dyDescent="0.35">
      <c r="A30" s="383">
        <v>15</v>
      </c>
      <c r="B30" s="386" t="s">
        <v>365</v>
      </c>
      <c r="C30" s="383">
        <v>110</v>
      </c>
      <c r="D30" s="383">
        <v>1</v>
      </c>
      <c r="E30" s="383">
        <v>1</v>
      </c>
      <c r="F30" s="383" t="s">
        <v>423</v>
      </c>
      <c r="G30" s="383">
        <v>35</v>
      </c>
      <c r="H30" s="383">
        <v>5</v>
      </c>
      <c r="I30" s="383" t="s">
        <v>4</v>
      </c>
      <c r="J30" s="383">
        <v>1</v>
      </c>
      <c r="K30" s="383" t="s">
        <v>1</v>
      </c>
      <c r="L30" s="383">
        <v>0.5</v>
      </c>
      <c r="M30" s="383">
        <v>8</v>
      </c>
    </row>
    <row r="31" spans="1:13" s="315" customFormat="1" x14ac:dyDescent="0.35">
      <c r="A31" s="381">
        <v>16</v>
      </c>
      <c r="B31" s="382" t="s">
        <v>366</v>
      </c>
      <c r="C31" s="383">
        <v>260</v>
      </c>
      <c r="D31" s="383">
        <v>3</v>
      </c>
      <c r="E31" s="383">
        <v>1</v>
      </c>
      <c r="F31" s="383" t="s">
        <v>426</v>
      </c>
      <c r="G31" s="337">
        <v>35</v>
      </c>
      <c r="H31" s="383">
        <v>7</v>
      </c>
      <c r="I31" s="383" t="s">
        <v>4</v>
      </c>
      <c r="J31" s="383">
        <v>2</v>
      </c>
      <c r="K31" s="383" t="s">
        <v>1</v>
      </c>
      <c r="L31" s="383">
        <v>0.5</v>
      </c>
      <c r="M31" s="383">
        <v>8</v>
      </c>
    </row>
    <row r="32" spans="1:13" s="315" customFormat="1" x14ac:dyDescent="0.35">
      <c r="A32" s="383">
        <v>17</v>
      </c>
      <c r="B32" s="416" t="s">
        <v>367</v>
      </c>
      <c r="C32" s="417">
        <v>350</v>
      </c>
      <c r="D32" s="383">
        <v>9</v>
      </c>
      <c r="E32" s="383">
        <v>1</v>
      </c>
      <c r="F32" s="383" t="s">
        <v>423</v>
      </c>
      <c r="G32" s="337">
        <v>35</v>
      </c>
      <c r="H32" s="383">
        <v>6</v>
      </c>
      <c r="I32" s="383" t="s">
        <v>4</v>
      </c>
      <c r="J32" s="383">
        <v>2</v>
      </c>
      <c r="K32" s="383" t="s">
        <v>1</v>
      </c>
      <c r="L32" s="383">
        <v>0.5</v>
      </c>
      <c r="M32" s="383">
        <v>8</v>
      </c>
    </row>
    <row r="33" spans="1:13" x14ac:dyDescent="0.35">
      <c r="A33" s="383"/>
      <c r="B33" s="386"/>
      <c r="C33" s="383"/>
      <c r="D33" s="383"/>
      <c r="E33" s="383">
        <v>1</v>
      </c>
      <c r="F33" s="383" t="s">
        <v>425</v>
      </c>
      <c r="G33" s="383"/>
      <c r="H33" s="383"/>
      <c r="I33" s="383"/>
      <c r="J33" s="383"/>
      <c r="K33" s="383"/>
      <c r="L33" s="383"/>
      <c r="M33" s="383"/>
    </row>
    <row r="34" spans="1:13" x14ac:dyDescent="0.35">
      <c r="A34" s="383"/>
      <c r="B34" s="386"/>
      <c r="C34" s="383"/>
      <c r="D34" s="383">
        <v>0</v>
      </c>
      <c r="E34" s="383">
        <v>5</v>
      </c>
      <c r="F34" s="383" t="s">
        <v>426</v>
      </c>
      <c r="G34" s="383"/>
      <c r="H34" s="383"/>
      <c r="I34" s="383"/>
      <c r="J34" s="383"/>
      <c r="K34" s="383"/>
      <c r="L34" s="383"/>
      <c r="M34" s="383"/>
    </row>
    <row r="35" spans="1:13" x14ac:dyDescent="0.35">
      <c r="C35" s="3">
        <f>SUM(C6:C34)</f>
        <v>4655</v>
      </c>
      <c r="D35" s="3">
        <f>SUM(D6:D34)</f>
        <v>96</v>
      </c>
      <c r="E35" s="3">
        <f>SUM(E6:E34)</f>
        <v>58</v>
      </c>
    </row>
    <row r="38" spans="1:13" ht="18.5" x14ac:dyDescent="0.45">
      <c r="B38" s="369" t="s">
        <v>431</v>
      </c>
      <c r="C38" s="370"/>
      <c r="D38" s="370"/>
      <c r="E38" s="370"/>
      <c r="F38" s="370"/>
    </row>
    <row r="42" spans="1:13" s="372" customFormat="1" ht="45" customHeight="1" x14ac:dyDescent="0.35">
      <c r="A42" s="375" t="s">
        <v>5</v>
      </c>
      <c r="B42" s="376" t="s">
        <v>0</v>
      </c>
      <c r="C42" s="375" t="s">
        <v>334</v>
      </c>
      <c r="D42" s="375" t="s">
        <v>335</v>
      </c>
      <c r="E42" s="375" t="s">
        <v>336</v>
      </c>
      <c r="F42" s="144" t="s">
        <v>420</v>
      </c>
      <c r="G42" s="413" t="s">
        <v>338</v>
      </c>
      <c r="H42" s="414" t="s">
        <v>339</v>
      </c>
      <c r="I42" s="414" t="s">
        <v>340</v>
      </c>
      <c r="J42" s="414" t="s">
        <v>341</v>
      </c>
      <c r="K42" s="414" t="s">
        <v>342</v>
      </c>
      <c r="L42" s="414" t="s">
        <v>343</v>
      </c>
      <c r="M42" s="414" t="s">
        <v>344</v>
      </c>
    </row>
    <row r="43" spans="1:13" s="315" customFormat="1" x14ac:dyDescent="0.35">
      <c r="A43" s="381">
        <v>1</v>
      </c>
      <c r="B43" s="382" t="s">
        <v>432</v>
      </c>
      <c r="C43" s="383">
        <v>185</v>
      </c>
      <c r="D43" s="383">
        <v>0</v>
      </c>
      <c r="E43" s="383">
        <v>0</v>
      </c>
      <c r="F43" s="383"/>
      <c r="G43" s="337">
        <v>35</v>
      </c>
      <c r="H43" s="383">
        <v>5</v>
      </c>
      <c r="I43" s="383" t="s">
        <v>4</v>
      </c>
      <c r="J43" s="383">
        <v>1</v>
      </c>
      <c r="K43" s="383" t="s">
        <v>1</v>
      </c>
      <c r="L43" s="383">
        <v>0.5</v>
      </c>
      <c r="M43" s="383">
        <v>8</v>
      </c>
    </row>
    <row r="44" spans="1:13" s="315" customFormat="1" x14ac:dyDescent="0.35">
      <c r="A44" s="381">
        <v>2</v>
      </c>
      <c r="B44" s="382" t="s">
        <v>370</v>
      </c>
      <c r="C44" s="383">
        <v>350</v>
      </c>
      <c r="D44" s="383">
        <v>0</v>
      </c>
      <c r="E44" s="383">
        <v>0</v>
      </c>
      <c r="F44" s="383"/>
      <c r="G44" s="337">
        <v>35</v>
      </c>
      <c r="H44" s="383">
        <v>5</v>
      </c>
      <c r="I44" s="383" t="s">
        <v>4</v>
      </c>
      <c r="J44" s="383">
        <v>1</v>
      </c>
      <c r="K44" s="383" t="s">
        <v>1</v>
      </c>
      <c r="L44" s="383">
        <v>0.5</v>
      </c>
      <c r="M44" s="383">
        <v>8</v>
      </c>
    </row>
    <row r="45" spans="1:13" s="315" customFormat="1" x14ac:dyDescent="0.35">
      <c r="A45" s="381">
        <v>3</v>
      </c>
      <c r="B45" s="382" t="s">
        <v>371</v>
      </c>
      <c r="C45" s="383">
        <v>380</v>
      </c>
      <c r="D45" s="383">
        <v>7</v>
      </c>
      <c r="E45" s="383">
        <v>0</v>
      </c>
      <c r="F45" s="383"/>
      <c r="G45" s="337">
        <v>35</v>
      </c>
      <c r="H45" s="383">
        <v>6</v>
      </c>
      <c r="I45" s="383" t="s">
        <v>4</v>
      </c>
      <c r="J45" s="383">
        <v>2</v>
      </c>
      <c r="K45" s="383" t="s">
        <v>1</v>
      </c>
      <c r="L45" s="383">
        <v>0.5</v>
      </c>
      <c r="M45" s="383">
        <v>8</v>
      </c>
    </row>
    <row r="46" spans="1:13" s="315" customFormat="1" x14ac:dyDescent="0.35">
      <c r="A46" s="381">
        <v>4</v>
      </c>
      <c r="B46" s="382" t="s">
        <v>372</v>
      </c>
      <c r="C46" s="383">
        <v>380</v>
      </c>
      <c r="D46" s="383">
        <v>8</v>
      </c>
      <c r="E46" s="383">
        <v>2</v>
      </c>
      <c r="F46" s="383" t="s">
        <v>425</v>
      </c>
      <c r="G46" s="337">
        <v>35</v>
      </c>
      <c r="H46" s="383">
        <v>6</v>
      </c>
      <c r="I46" s="383" t="s">
        <v>4</v>
      </c>
      <c r="J46" s="383">
        <v>2</v>
      </c>
      <c r="K46" s="383" t="s">
        <v>1</v>
      </c>
      <c r="L46" s="383">
        <v>0.5</v>
      </c>
      <c r="M46" s="383">
        <v>8</v>
      </c>
    </row>
    <row r="47" spans="1:13" s="315" customFormat="1" x14ac:dyDescent="0.35">
      <c r="A47" s="383"/>
      <c r="D47" s="383"/>
      <c r="E47" s="383">
        <v>1</v>
      </c>
      <c r="F47" s="383" t="s">
        <v>426</v>
      </c>
      <c r="G47" s="383"/>
      <c r="H47" s="383"/>
      <c r="I47" s="383"/>
      <c r="J47" s="383"/>
      <c r="K47" s="383"/>
      <c r="L47" s="383"/>
      <c r="M47" s="383"/>
    </row>
    <row r="48" spans="1:13" s="315" customFormat="1" x14ac:dyDescent="0.35">
      <c r="A48" s="383"/>
      <c r="B48" s="385"/>
      <c r="C48" s="383"/>
      <c r="D48" s="383"/>
      <c r="E48" s="383">
        <v>1</v>
      </c>
      <c r="F48" s="383" t="s">
        <v>423</v>
      </c>
      <c r="G48" s="383"/>
      <c r="H48" s="383"/>
      <c r="I48" s="383"/>
      <c r="J48" s="383"/>
      <c r="K48" s="383"/>
      <c r="L48" s="383"/>
      <c r="M48" s="383"/>
    </row>
    <row r="49" spans="1:13" s="315" customFormat="1" x14ac:dyDescent="0.35">
      <c r="A49" s="383">
        <v>6</v>
      </c>
      <c r="B49" s="386" t="s">
        <v>373</v>
      </c>
      <c r="C49" s="383">
        <v>270</v>
      </c>
      <c r="D49" s="383">
        <v>5</v>
      </c>
      <c r="E49" s="383">
        <v>1</v>
      </c>
      <c r="F49" s="383" t="s">
        <v>425</v>
      </c>
      <c r="G49" s="337">
        <v>35</v>
      </c>
      <c r="H49" s="383">
        <v>6</v>
      </c>
      <c r="I49" s="383" t="s">
        <v>4</v>
      </c>
      <c r="J49" s="383">
        <v>2</v>
      </c>
      <c r="K49" s="383" t="s">
        <v>1</v>
      </c>
      <c r="L49" s="383">
        <v>0.5</v>
      </c>
      <c r="M49" s="383">
        <v>8</v>
      </c>
    </row>
    <row r="50" spans="1:13" s="315" customFormat="1" x14ac:dyDescent="0.35">
      <c r="A50" s="383"/>
      <c r="B50" s="386"/>
      <c r="C50" s="383"/>
      <c r="D50" s="383"/>
      <c r="E50" s="383">
        <v>3</v>
      </c>
      <c r="F50" s="383" t="s">
        <v>426</v>
      </c>
      <c r="G50" s="383"/>
      <c r="H50" s="383"/>
      <c r="I50" s="383"/>
      <c r="J50" s="383"/>
      <c r="K50" s="383"/>
      <c r="L50" s="383"/>
      <c r="M50" s="383"/>
    </row>
    <row r="51" spans="1:13" s="315" customFormat="1" x14ac:dyDescent="0.35">
      <c r="A51" s="383">
        <v>7</v>
      </c>
      <c r="B51" s="386" t="s">
        <v>374</v>
      </c>
      <c r="C51" s="383">
        <v>180</v>
      </c>
      <c r="D51" s="383">
        <v>4</v>
      </c>
      <c r="E51" s="383">
        <v>1</v>
      </c>
      <c r="F51" s="383" t="s">
        <v>425</v>
      </c>
      <c r="G51" s="337">
        <v>35</v>
      </c>
      <c r="H51" s="383">
        <v>5</v>
      </c>
      <c r="I51" s="383" t="s">
        <v>4</v>
      </c>
      <c r="J51" s="383">
        <v>1</v>
      </c>
      <c r="K51" s="383" t="s">
        <v>1</v>
      </c>
      <c r="L51" s="383">
        <v>0.5</v>
      </c>
      <c r="M51" s="383">
        <v>8</v>
      </c>
    </row>
    <row r="52" spans="1:13" x14ac:dyDescent="0.35">
      <c r="A52" s="383"/>
      <c r="B52" s="386"/>
      <c r="C52" s="383"/>
      <c r="D52" s="383"/>
      <c r="E52" s="383">
        <v>1</v>
      </c>
      <c r="F52" s="383" t="s">
        <v>426</v>
      </c>
      <c r="G52" s="383"/>
      <c r="H52" s="383"/>
      <c r="I52" s="383"/>
      <c r="J52" s="383"/>
      <c r="K52" s="383"/>
      <c r="L52" s="383"/>
      <c r="M52" s="383"/>
    </row>
    <row r="53" spans="1:13" x14ac:dyDescent="0.35">
      <c r="A53" s="383">
        <v>8</v>
      </c>
      <c r="B53" s="386" t="s">
        <v>375</v>
      </c>
      <c r="C53" s="383">
        <v>750</v>
      </c>
      <c r="D53" s="383">
        <v>15</v>
      </c>
      <c r="E53" s="383">
        <v>2</v>
      </c>
      <c r="F53" s="383" t="s">
        <v>426</v>
      </c>
      <c r="G53" s="337">
        <v>35</v>
      </c>
      <c r="H53" s="383">
        <v>8</v>
      </c>
      <c r="I53" s="383" t="s">
        <v>4</v>
      </c>
      <c r="J53" s="383">
        <v>2</v>
      </c>
      <c r="K53" s="383" t="s">
        <v>1</v>
      </c>
      <c r="L53" s="383">
        <v>0.5</v>
      </c>
      <c r="M53" s="383">
        <v>8</v>
      </c>
    </row>
    <row r="54" spans="1:13" x14ac:dyDescent="0.35">
      <c r="A54" s="383"/>
      <c r="B54" s="386"/>
      <c r="C54" s="383"/>
      <c r="D54" s="383"/>
      <c r="E54" s="383">
        <v>2</v>
      </c>
      <c r="F54" s="383" t="s">
        <v>423</v>
      </c>
      <c r="G54" s="383"/>
      <c r="H54" s="383"/>
      <c r="I54" s="383"/>
      <c r="J54" s="383"/>
      <c r="K54" s="383"/>
      <c r="L54" s="383"/>
      <c r="M54" s="383"/>
    </row>
    <row r="55" spans="1:13" x14ac:dyDescent="0.35">
      <c r="A55" s="383"/>
      <c r="B55" s="386"/>
      <c r="C55" s="383"/>
      <c r="D55" s="383"/>
      <c r="E55" s="383">
        <v>5</v>
      </c>
      <c r="F55" s="383" t="s">
        <v>425</v>
      </c>
      <c r="G55" s="383"/>
      <c r="H55" s="383"/>
      <c r="I55" s="383"/>
      <c r="J55" s="383"/>
      <c r="K55" s="383"/>
      <c r="L55" s="383"/>
      <c r="M55" s="383"/>
    </row>
    <row r="56" spans="1:13" x14ac:dyDescent="0.35">
      <c r="A56" s="383">
        <v>9</v>
      </c>
      <c r="B56" s="386" t="s">
        <v>376</v>
      </c>
      <c r="C56" s="383">
        <v>170</v>
      </c>
      <c r="D56" s="383">
        <v>5</v>
      </c>
      <c r="E56" s="383">
        <v>2</v>
      </c>
      <c r="F56" s="383" t="s">
        <v>425</v>
      </c>
      <c r="G56" s="337">
        <v>35</v>
      </c>
      <c r="H56" s="383">
        <v>6</v>
      </c>
      <c r="I56" s="383" t="s">
        <v>4</v>
      </c>
      <c r="J56" s="383">
        <v>2</v>
      </c>
      <c r="K56" s="383" t="s">
        <v>1</v>
      </c>
      <c r="L56" s="383">
        <v>0.5</v>
      </c>
      <c r="M56" s="383">
        <v>8</v>
      </c>
    </row>
    <row r="57" spans="1:13" x14ac:dyDescent="0.35">
      <c r="A57" s="383">
        <v>10</v>
      </c>
      <c r="B57" s="386" t="s">
        <v>377</v>
      </c>
      <c r="C57" s="383">
        <v>150</v>
      </c>
      <c r="D57" s="383">
        <v>4</v>
      </c>
      <c r="E57" s="383">
        <v>1</v>
      </c>
      <c r="F57" s="383" t="s">
        <v>425</v>
      </c>
      <c r="G57" s="337">
        <v>35</v>
      </c>
      <c r="H57" s="383">
        <v>6</v>
      </c>
      <c r="I57" s="383" t="s">
        <v>4</v>
      </c>
      <c r="J57" s="383">
        <v>2</v>
      </c>
      <c r="K57" s="383" t="s">
        <v>1</v>
      </c>
      <c r="L57" s="383">
        <v>0.5</v>
      </c>
      <c r="M57" s="383">
        <v>8</v>
      </c>
    </row>
    <row r="58" spans="1:13" x14ac:dyDescent="0.35">
      <c r="A58" s="383">
        <v>11</v>
      </c>
      <c r="B58" s="386" t="s">
        <v>378</v>
      </c>
      <c r="C58" s="383">
        <v>90</v>
      </c>
      <c r="D58" s="383">
        <v>3</v>
      </c>
      <c r="E58" s="383">
        <v>1</v>
      </c>
      <c r="F58" s="383" t="s">
        <v>423</v>
      </c>
      <c r="G58" s="337">
        <v>35</v>
      </c>
      <c r="H58" s="383">
        <v>5</v>
      </c>
      <c r="I58" s="383" t="s">
        <v>4</v>
      </c>
      <c r="J58" s="383">
        <v>1</v>
      </c>
      <c r="K58" s="383" t="s">
        <v>1</v>
      </c>
      <c r="L58" s="383">
        <v>0.5</v>
      </c>
      <c r="M58" s="383">
        <v>8</v>
      </c>
    </row>
    <row r="59" spans="1:13" x14ac:dyDescent="0.35">
      <c r="A59" s="383">
        <v>13</v>
      </c>
      <c r="B59" s="386" t="s">
        <v>379</v>
      </c>
      <c r="C59" s="383">
        <v>350</v>
      </c>
      <c r="D59" s="383">
        <v>5</v>
      </c>
      <c r="E59" s="383">
        <v>2</v>
      </c>
      <c r="F59" s="383" t="s">
        <v>426</v>
      </c>
      <c r="G59" s="337">
        <v>35</v>
      </c>
      <c r="H59" s="383">
        <v>7</v>
      </c>
      <c r="I59" s="383" t="s">
        <v>4</v>
      </c>
      <c r="J59" s="383">
        <v>2</v>
      </c>
      <c r="K59" s="383" t="s">
        <v>1</v>
      </c>
      <c r="L59" s="383">
        <v>0.5</v>
      </c>
      <c r="M59" s="383">
        <v>8</v>
      </c>
    </row>
    <row r="60" spans="1:13" x14ac:dyDescent="0.35">
      <c r="A60" s="383">
        <v>14</v>
      </c>
      <c r="B60" s="386" t="s">
        <v>380</v>
      </c>
      <c r="C60" s="383">
        <v>320</v>
      </c>
      <c r="D60" s="383">
        <v>7</v>
      </c>
      <c r="E60" s="383">
        <v>2</v>
      </c>
      <c r="F60" s="383" t="s">
        <v>425</v>
      </c>
      <c r="G60" s="337">
        <v>35</v>
      </c>
      <c r="H60" s="383">
        <v>6</v>
      </c>
      <c r="I60" s="383" t="s">
        <v>4</v>
      </c>
      <c r="J60" s="383">
        <v>2</v>
      </c>
      <c r="K60" s="383" t="s">
        <v>1</v>
      </c>
      <c r="L60" s="383">
        <v>0.5</v>
      </c>
      <c r="M60" s="383">
        <v>8</v>
      </c>
    </row>
    <row r="61" spans="1:13" x14ac:dyDescent="0.35">
      <c r="A61" s="383"/>
      <c r="B61" s="386"/>
      <c r="C61" s="383"/>
      <c r="D61" s="383"/>
      <c r="E61" s="383">
        <v>4</v>
      </c>
      <c r="F61" s="383" t="s">
        <v>423</v>
      </c>
      <c r="G61" s="337"/>
      <c r="H61" s="383"/>
      <c r="I61" s="383"/>
      <c r="J61" s="383"/>
      <c r="K61" s="383"/>
      <c r="L61" s="383"/>
      <c r="M61" s="383"/>
    </row>
    <row r="62" spans="1:13" x14ac:dyDescent="0.35">
      <c r="C62" s="3">
        <f>SUM(C43:C61)</f>
        <v>3575</v>
      </c>
      <c r="D62" s="3">
        <f>SUM(D43:D61)</f>
        <v>63</v>
      </c>
      <c r="E62" s="3">
        <f>SUM(E43:E61)</f>
        <v>31</v>
      </c>
    </row>
    <row r="63" spans="1:13" x14ac:dyDescent="0.35">
      <c r="C63" s="3">
        <f>C62+C35</f>
        <v>8230</v>
      </c>
      <c r="D63" s="3">
        <f>D62+D35</f>
        <v>159</v>
      </c>
    </row>
    <row r="66" spans="3:4" x14ac:dyDescent="0.35">
      <c r="C66" s="400" t="s">
        <v>433</v>
      </c>
      <c r="D66" s="3">
        <f>D35+D62</f>
        <v>159</v>
      </c>
    </row>
    <row r="67" spans="3:4" x14ac:dyDescent="0.35">
      <c r="C67" s="400" t="s">
        <v>434</v>
      </c>
      <c r="D67" s="3">
        <f>E35+E62</f>
        <v>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opLeftCell="A34" workbookViewId="0">
      <selection activeCell="D32" sqref="D32"/>
    </sheetView>
  </sheetViews>
  <sheetFormatPr defaultRowHeight="14.5" x14ac:dyDescent="0.35"/>
  <cols>
    <col min="1" max="1" width="4.453125" style="3" customWidth="1"/>
    <col min="2" max="2" width="23" customWidth="1"/>
    <col min="3" max="3" width="8.36328125" style="3" customWidth="1"/>
    <col min="4" max="4" width="9.1796875" style="3" customWidth="1"/>
    <col min="5" max="6" width="9.36328125" style="3" customWidth="1"/>
    <col min="7" max="7" width="8.26953125" customWidth="1"/>
    <col min="8" max="8" width="7.90625" style="3" customWidth="1"/>
    <col min="9" max="9" width="8.1796875" style="3" customWidth="1"/>
    <col min="10" max="10" width="4.81640625" style="3" customWidth="1"/>
    <col min="11" max="11" width="11" style="3" customWidth="1"/>
    <col min="12" max="12" width="15.1796875" style="3" customWidth="1"/>
    <col min="13" max="13" width="10.453125" style="3" customWidth="1"/>
    <col min="14" max="14" width="16.54296875" customWidth="1"/>
    <col min="15" max="15" width="5.1796875" bestFit="1" customWidth="1"/>
    <col min="16" max="16" width="7.7265625" customWidth="1"/>
  </cols>
  <sheetData>
    <row r="1" spans="1:15" ht="18.5" x14ac:dyDescent="0.45">
      <c r="B1" s="369" t="s">
        <v>331</v>
      </c>
      <c r="C1" s="370"/>
      <c r="D1" s="370"/>
      <c r="E1" s="370"/>
      <c r="F1" s="370"/>
    </row>
    <row r="4" spans="1:15" ht="15" thickBot="1" x14ac:dyDescent="0.4"/>
    <row r="5" spans="1:15" s="372" customFormat="1" ht="15" thickBot="1" x14ac:dyDescent="0.4">
      <c r="A5" s="371"/>
      <c r="C5" s="374"/>
      <c r="D5" s="550" t="s">
        <v>332</v>
      </c>
      <c r="E5" s="551"/>
      <c r="F5" s="551"/>
      <c r="G5" s="552" t="s">
        <v>333</v>
      </c>
      <c r="H5" s="553"/>
      <c r="I5" s="553"/>
      <c r="J5" s="553"/>
      <c r="K5" s="553"/>
      <c r="L5" s="553"/>
      <c r="M5" s="553"/>
      <c r="N5" s="553"/>
      <c r="O5" s="554"/>
    </row>
    <row r="6" spans="1:15" s="380" customFormat="1" ht="116" x14ac:dyDescent="0.35">
      <c r="A6" s="375" t="s">
        <v>5</v>
      </c>
      <c r="B6" s="376" t="s">
        <v>0</v>
      </c>
      <c r="C6" s="377" t="s">
        <v>334</v>
      </c>
      <c r="D6" s="377" t="s">
        <v>335</v>
      </c>
      <c r="E6" s="377" t="s">
        <v>336</v>
      </c>
      <c r="F6" s="377" t="s">
        <v>337</v>
      </c>
      <c r="G6" s="378" t="s">
        <v>338</v>
      </c>
      <c r="H6" s="379" t="s">
        <v>339</v>
      </c>
      <c r="I6" s="379" t="s">
        <v>340</v>
      </c>
      <c r="J6" s="379" t="s">
        <v>341</v>
      </c>
      <c r="K6" s="379" t="s">
        <v>342</v>
      </c>
      <c r="L6" s="379" t="s">
        <v>343</v>
      </c>
      <c r="M6" s="379" t="s">
        <v>344</v>
      </c>
      <c r="N6" s="379" t="s">
        <v>345</v>
      </c>
      <c r="O6" s="378" t="s">
        <v>346</v>
      </c>
    </row>
    <row r="7" spans="1:15" s="315" customFormat="1" x14ac:dyDescent="0.35">
      <c r="A7" s="381">
        <v>1</v>
      </c>
      <c r="B7" s="382" t="s">
        <v>350</v>
      </c>
      <c r="C7" s="383">
        <v>350</v>
      </c>
      <c r="D7" s="383">
        <v>10</v>
      </c>
      <c r="E7" s="383">
        <v>10</v>
      </c>
      <c r="F7" s="383">
        <v>20</v>
      </c>
      <c r="G7" s="337">
        <v>35</v>
      </c>
      <c r="H7" s="383">
        <v>5</v>
      </c>
      <c r="I7" s="383" t="s">
        <v>4</v>
      </c>
      <c r="J7" s="383">
        <v>1</v>
      </c>
      <c r="K7" s="383" t="s">
        <v>1</v>
      </c>
      <c r="L7" s="383">
        <v>0.5</v>
      </c>
      <c r="M7" s="383">
        <v>6</v>
      </c>
      <c r="N7" s="384" t="s">
        <v>351</v>
      </c>
      <c r="O7" s="381">
        <v>0.8</v>
      </c>
    </row>
    <row r="8" spans="1:15" s="315" customFormat="1" x14ac:dyDescent="0.35">
      <c r="A8" s="381">
        <v>2</v>
      </c>
      <c r="B8" s="382" t="s">
        <v>352</v>
      </c>
      <c r="C8" s="383">
        <v>230</v>
      </c>
      <c r="D8" s="383">
        <v>6</v>
      </c>
      <c r="E8" s="383">
        <v>6</v>
      </c>
      <c r="F8" s="383">
        <v>20</v>
      </c>
      <c r="G8" s="337">
        <v>35</v>
      </c>
      <c r="H8" s="383">
        <v>4</v>
      </c>
      <c r="I8" s="383" t="s">
        <v>4</v>
      </c>
      <c r="J8" s="383">
        <v>1</v>
      </c>
      <c r="K8" s="383" t="s">
        <v>1</v>
      </c>
      <c r="L8" s="383">
        <v>0.5</v>
      </c>
      <c r="M8" s="383">
        <v>6</v>
      </c>
      <c r="N8" s="384" t="s">
        <v>351</v>
      </c>
      <c r="O8" s="381">
        <v>0.8</v>
      </c>
    </row>
    <row r="9" spans="1:15" s="315" customFormat="1" x14ac:dyDescent="0.35">
      <c r="A9" s="381">
        <v>3</v>
      </c>
      <c r="B9" s="382" t="s">
        <v>353</v>
      </c>
      <c r="C9" s="383">
        <v>370</v>
      </c>
      <c r="D9" s="383">
        <v>10</v>
      </c>
      <c r="E9" s="383">
        <v>10</v>
      </c>
      <c r="F9" s="383">
        <v>28</v>
      </c>
      <c r="G9" s="337">
        <v>35</v>
      </c>
      <c r="H9" s="383">
        <v>7</v>
      </c>
      <c r="I9" s="383" t="s">
        <v>4</v>
      </c>
      <c r="J9" s="383">
        <v>2</v>
      </c>
      <c r="K9" s="383" t="s">
        <v>1</v>
      </c>
      <c r="L9" s="383">
        <v>0.5</v>
      </c>
      <c r="M9" s="383">
        <v>6</v>
      </c>
      <c r="N9" s="384" t="s">
        <v>351</v>
      </c>
      <c r="O9" s="381">
        <v>0.8</v>
      </c>
    </row>
    <row r="10" spans="1:15" s="315" customFormat="1" x14ac:dyDescent="0.35">
      <c r="A10" s="381">
        <v>4</v>
      </c>
      <c r="B10" s="382" t="s">
        <v>354</v>
      </c>
      <c r="C10" s="383">
        <v>350</v>
      </c>
      <c r="D10" s="383">
        <v>9</v>
      </c>
      <c r="E10" s="383">
        <v>9</v>
      </c>
      <c r="F10" s="383">
        <v>38.1</v>
      </c>
      <c r="G10" s="337">
        <v>35</v>
      </c>
      <c r="H10" s="383">
        <v>7</v>
      </c>
      <c r="I10" s="383" t="s">
        <v>3</v>
      </c>
      <c r="J10" s="383">
        <v>2</v>
      </c>
      <c r="K10" s="383" t="s">
        <v>1</v>
      </c>
      <c r="L10" s="383">
        <v>0.5</v>
      </c>
      <c r="M10" s="383">
        <v>6</v>
      </c>
      <c r="N10" s="384" t="s">
        <v>351</v>
      </c>
      <c r="O10" s="381">
        <v>0.8</v>
      </c>
    </row>
    <row r="11" spans="1:15" s="315" customFormat="1" x14ac:dyDescent="0.35">
      <c r="A11" s="383">
        <v>5</v>
      </c>
      <c r="B11" s="385" t="s">
        <v>355</v>
      </c>
      <c r="C11" s="383">
        <v>315</v>
      </c>
      <c r="D11" s="383">
        <v>9</v>
      </c>
      <c r="E11" s="383">
        <v>9</v>
      </c>
      <c r="F11" s="383">
        <v>20</v>
      </c>
      <c r="G11" s="383">
        <v>35</v>
      </c>
      <c r="H11" s="383">
        <v>5</v>
      </c>
      <c r="I11" s="383" t="s">
        <v>4</v>
      </c>
      <c r="J11" s="383">
        <v>1</v>
      </c>
      <c r="K11" s="383" t="s">
        <v>1</v>
      </c>
      <c r="L11" s="383">
        <v>0.5</v>
      </c>
      <c r="M11" s="383">
        <v>6</v>
      </c>
      <c r="N11" s="384" t="s">
        <v>351</v>
      </c>
      <c r="O11" s="381">
        <v>0.8</v>
      </c>
    </row>
    <row r="12" spans="1:15" s="315" customFormat="1" x14ac:dyDescent="0.35">
      <c r="A12" s="383">
        <v>6</v>
      </c>
      <c r="B12" s="386" t="s">
        <v>356</v>
      </c>
      <c r="C12" s="383">
        <v>250</v>
      </c>
      <c r="D12" s="383">
        <v>7</v>
      </c>
      <c r="E12" s="383">
        <v>7</v>
      </c>
      <c r="F12" s="383">
        <v>20</v>
      </c>
      <c r="G12" s="383">
        <v>35</v>
      </c>
      <c r="H12" s="383">
        <v>4</v>
      </c>
      <c r="I12" s="383" t="s">
        <v>4</v>
      </c>
      <c r="J12" s="383">
        <v>1</v>
      </c>
      <c r="K12" s="383" t="s">
        <v>1</v>
      </c>
      <c r="L12" s="383">
        <v>0.5</v>
      </c>
      <c r="M12" s="383">
        <v>6</v>
      </c>
      <c r="N12" s="384" t="s">
        <v>351</v>
      </c>
      <c r="O12" s="381">
        <v>0.8</v>
      </c>
    </row>
    <row r="13" spans="1:15" s="315" customFormat="1" x14ac:dyDescent="0.35">
      <c r="A13" s="383">
        <v>7</v>
      </c>
      <c r="B13" s="386" t="s">
        <v>357</v>
      </c>
      <c r="C13" s="383">
        <v>260</v>
      </c>
      <c r="D13" s="383">
        <v>9</v>
      </c>
      <c r="E13" s="383">
        <v>9</v>
      </c>
      <c r="F13" s="383">
        <v>28</v>
      </c>
      <c r="G13" s="383">
        <v>35</v>
      </c>
      <c r="H13" s="383">
        <v>5</v>
      </c>
      <c r="I13" s="383" t="s">
        <v>3</v>
      </c>
      <c r="J13" s="383">
        <v>1</v>
      </c>
      <c r="K13" s="383" t="s">
        <v>1</v>
      </c>
      <c r="L13" s="383">
        <v>0.5</v>
      </c>
      <c r="M13" s="383">
        <v>6</v>
      </c>
      <c r="N13" s="384" t="s">
        <v>351</v>
      </c>
      <c r="O13" s="381">
        <v>0.8</v>
      </c>
    </row>
    <row r="14" spans="1:15" x14ac:dyDescent="0.35">
      <c r="A14" s="383">
        <v>8</v>
      </c>
      <c r="B14" s="386" t="s">
        <v>358</v>
      </c>
      <c r="C14" s="383">
        <v>180</v>
      </c>
      <c r="D14" s="383">
        <v>6</v>
      </c>
      <c r="E14" s="383">
        <v>6</v>
      </c>
      <c r="F14" s="383">
        <v>28</v>
      </c>
      <c r="G14" s="383">
        <v>35</v>
      </c>
      <c r="H14" s="383">
        <v>5</v>
      </c>
      <c r="I14" s="383" t="s">
        <v>3</v>
      </c>
      <c r="J14" s="383">
        <v>1</v>
      </c>
      <c r="K14" s="383" t="s">
        <v>1</v>
      </c>
      <c r="L14" s="383">
        <v>0.5</v>
      </c>
      <c r="M14" s="383">
        <v>6</v>
      </c>
      <c r="N14" s="384" t="s">
        <v>351</v>
      </c>
      <c r="O14" s="381">
        <v>0.8</v>
      </c>
    </row>
    <row r="15" spans="1:15" x14ac:dyDescent="0.35">
      <c r="A15" s="383">
        <v>9</v>
      </c>
      <c r="B15" s="386" t="s">
        <v>359</v>
      </c>
      <c r="C15" s="383">
        <v>200</v>
      </c>
      <c r="D15" s="383">
        <v>5</v>
      </c>
      <c r="E15" s="383">
        <v>5</v>
      </c>
      <c r="F15" s="383">
        <v>20</v>
      </c>
      <c r="G15" s="383">
        <v>35</v>
      </c>
      <c r="H15" s="383">
        <v>3</v>
      </c>
      <c r="I15" s="383" t="s">
        <v>4</v>
      </c>
      <c r="J15" s="383">
        <v>1</v>
      </c>
      <c r="K15" s="383" t="s">
        <v>1</v>
      </c>
      <c r="L15" s="383">
        <v>0.5</v>
      </c>
      <c r="M15" s="383">
        <v>6</v>
      </c>
      <c r="N15" s="384" t="s">
        <v>351</v>
      </c>
      <c r="O15" s="381">
        <v>0.8</v>
      </c>
    </row>
    <row r="16" spans="1:15" x14ac:dyDescent="0.35">
      <c r="A16" s="383">
        <v>10</v>
      </c>
      <c r="B16" s="386" t="s">
        <v>360</v>
      </c>
      <c r="C16" s="383">
        <v>290</v>
      </c>
      <c r="D16" s="383">
        <v>8</v>
      </c>
      <c r="E16" s="383">
        <v>8</v>
      </c>
      <c r="F16" s="383">
        <v>20</v>
      </c>
      <c r="G16" s="383">
        <v>35</v>
      </c>
      <c r="H16" s="383">
        <v>4</v>
      </c>
      <c r="I16" s="383" t="s">
        <v>4</v>
      </c>
      <c r="J16" s="383">
        <v>1</v>
      </c>
      <c r="K16" s="383" t="s">
        <v>1</v>
      </c>
      <c r="L16" s="383">
        <v>0.5</v>
      </c>
      <c r="M16" s="383">
        <v>6</v>
      </c>
      <c r="N16" s="384" t="s">
        <v>351</v>
      </c>
      <c r="O16" s="381">
        <v>0.8</v>
      </c>
    </row>
    <row r="17" spans="1:15" x14ac:dyDescent="0.35">
      <c r="A17" s="383">
        <v>11</v>
      </c>
      <c r="B17" s="386" t="s">
        <v>361</v>
      </c>
      <c r="C17" s="383">
        <v>200</v>
      </c>
      <c r="D17" s="383">
        <v>6</v>
      </c>
      <c r="E17" s="383">
        <v>6</v>
      </c>
      <c r="F17" s="383">
        <v>20</v>
      </c>
      <c r="G17" s="383">
        <v>35</v>
      </c>
      <c r="H17" s="383">
        <v>5</v>
      </c>
      <c r="I17" s="383" t="s">
        <v>4</v>
      </c>
      <c r="J17" s="383">
        <v>1</v>
      </c>
      <c r="K17" s="383" t="s">
        <v>1</v>
      </c>
      <c r="L17" s="383">
        <v>0.5</v>
      </c>
      <c r="M17" s="383">
        <v>6</v>
      </c>
      <c r="N17" s="384" t="s">
        <v>351</v>
      </c>
      <c r="O17" s="381">
        <v>0.8</v>
      </c>
    </row>
    <row r="18" spans="1:15" x14ac:dyDescent="0.35">
      <c r="A18" s="383">
        <v>12</v>
      </c>
      <c r="B18" s="386" t="s">
        <v>362</v>
      </c>
      <c r="C18" s="383">
        <v>500</v>
      </c>
      <c r="D18" s="383">
        <v>15</v>
      </c>
      <c r="E18" s="383">
        <v>15</v>
      </c>
      <c r="F18" s="383">
        <v>38.1</v>
      </c>
      <c r="G18" s="337">
        <v>35</v>
      </c>
      <c r="H18" s="383">
        <v>7</v>
      </c>
      <c r="I18" s="383" t="s">
        <v>3</v>
      </c>
      <c r="J18" s="383">
        <v>2</v>
      </c>
      <c r="K18" s="383" t="s">
        <v>1</v>
      </c>
      <c r="L18" s="383">
        <v>0.5</v>
      </c>
      <c r="M18" s="383">
        <v>6</v>
      </c>
      <c r="N18" s="384" t="s">
        <v>351</v>
      </c>
      <c r="O18" s="381">
        <v>0.8</v>
      </c>
    </row>
    <row r="19" spans="1:15" x14ac:dyDescent="0.35">
      <c r="A19" s="383">
        <v>13</v>
      </c>
      <c r="B19" s="386" t="s">
        <v>363</v>
      </c>
      <c r="C19" s="383">
        <v>350</v>
      </c>
      <c r="D19" s="383">
        <v>10</v>
      </c>
      <c r="E19" s="383">
        <v>10</v>
      </c>
      <c r="F19" s="383">
        <v>20</v>
      </c>
      <c r="G19" s="383">
        <v>35</v>
      </c>
      <c r="H19" s="383">
        <v>5</v>
      </c>
      <c r="I19" s="383" t="s">
        <v>4</v>
      </c>
      <c r="J19" s="383">
        <v>1</v>
      </c>
      <c r="K19" s="383" t="s">
        <v>1</v>
      </c>
      <c r="L19" s="383">
        <v>0.5</v>
      </c>
      <c r="M19" s="383">
        <v>6</v>
      </c>
      <c r="N19" s="384" t="s">
        <v>351</v>
      </c>
      <c r="O19" s="381">
        <v>0.8</v>
      </c>
    </row>
    <row r="20" spans="1:15" x14ac:dyDescent="0.35">
      <c r="A20" s="383">
        <v>14</v>
      </c>
      <c r="B20" s="386" t="s">
        <v>364</v>
      </c>
      <c r="C20" s="383">
        <v>190</v>
      </c>
      <c r="D20" s="383">
        <v>5</v>
      </c>
      <c r="E20" s="383">
        <v>5</v>
      </c>
      <c r="F20" s="383">
        <v>20</v>
      </c>
      <c r="G20" s="383">
        <v>35</v>
      </c>
      <c r="H20" s="383">
        <v>5</v>
      </c>
      <c r="I20" s="383" t="s">
        <v>4</v>
      </c>
      <c r="J20" s="383">
        <v>1</v>
      </c>
      <c r="K20" s="383" t="s">
        <v>1</v>
      </c>
      <c r="L20" s="383">
        <v>0.5</v>
      </c>
      <c r="M20" s="383">
        <v>6</v>
      </c>
      <c r="N20" s="384" t="s">
        <v>351</v>
      </c>
      <c r="O20" s="381">
        <v>0.8</v>
      </c>
    </row>
    <row r="21" spans="1:15" x14ac:dyDescent="0.35">
      <c r="A21" s="383">
        <v>15</v>
      </c>
      <c r="B21" s="386" t="s">
        <v>365</v>
      </c>
      <c r="C21" s="383">
        <v>110</v>
      </c>
      <c r="D21" s="383">
        <v>3</v>
      </c>
      <c r="E21" s="383">
        <v>3</v>
      </c>
      <c r="F21" s="383">
        <v>20</v>
      </c>
      <c r="G21" s="383">
        <v>35</v>
      </c>
      <c r="H21" s="383">
        <v>5</v>
      </c>
      <c r="I21" s="383" t="s">
        <v>4</v>
      </c>
      <c r="J21" s="383">
        <v>1</v>
      </c>
      <c r="K21" s="383" t="s">
        <v>1</v>
      </c>
      <c r="L21" s="383">
        <v>0.5</v>
      </c>
      <c r="M21" s="383">
        <v>6</v>
      </c>
      <c r="N21" s="384" t="s">
        <v>351</v>
      </c>
      <c r="O21" s="381">
        <v>0.8</v>
      </c>
    </row>
    <row r="22" spans="1:15" s="315" customFormat="1" x14ac:dyDescent="0.35">
      <c r="A22" s="381">
        <v>16</v>
      </c>
      <c r="B22" s="382" t="s">
        <v>366</v>
      </c>
      <c r="C22" s="383">
        <v>260</v>
      </c>
      <c r="D22" s="383">
        <v>8</v>
      </c>
      <c r="E22" s="383">
        <v>8</v>
      </c>
      <c r="F22" s="383">
        <v>28</v>
      </c>
      <c r="G22" s="337">
        <v>35</v>
      </c>
      <c r="H22" s="383">
        <v>7</v>
      </c>
      <c r="I22" s="383" t="s">
        <v>4</v>
      </c>
      <c r="J22" s="383">
        <v>2</v>
      </c>
      <c r="K22" s="383" t="s">
        <v>1</v>
      </c>
      <c r="L22" s="383">
        <v>0.5</v>
      </c>
      <c r="M22" s="383">
        <v>6</v>
      </c>
      <c r="N22" s="384" t="s">
        <v>351</v>
      </c>
      <c r="O22" s="381">
        <v>0.8</v>
      </c>
    </row>
    <row r="23" spans="1:15" s="315" customFormat="1" x14ac:dyDescent="0.35">
      <c r="A23" s="383">
        <v>17</v>
      </c>
      <c r="B23" s="387" t="s">
        <v>367</v>
      </c>
      <c r="C23" s="388">
        <v>350</v>
      </c>
      <c r="D23" s="383">
        <v>10</v>
      </c>
      <c r="E23" s="383">
        <v>10</v>
      </c>
      <c r="F23" s="383">
        <v>28</v>
      </c>
      <c r="G23" s="337">
        <v>35</v>
      </c>
      <c r="H23" s="383">
        <v>6</v>
      </c>
      <c r="I23" s="383" t="s">
        <v>4</v>
      </c>
      <c r="J23" s="383">
        <v>2</v>
      </c>
      <c r="K23" s="383" t="s">
        <v>1</v>
      </c>
      <c r="L23" s="383">
        <v>0.5</v>
      </c>
      <c r="M23" s="383">
        <v>6</v>
      </c>
      <c r="N23" s="384" t="s">
        <v>351</v>
      </c>
      <c r="O23" s="381">
        <v>0.8</v>
      </c>
    </row>
    <row r="24" spans="1:15" x14ac:dyDescent="0.35">
      <c r="D24" s="3">
        <f>SUM(D7:D23)</f>
        <v>136</v>
      </c>
      <c r="E24" s="3">
        <f>SUM(E7:E23)</f>
        <v>136</v>
      </c>
    </row>
    <row r="26" spans="1:15" ht="18.5" x14ac:dyDescent="0.45">
      <c r="B26" s="369" t="s">
        <v>435</v>
      </c>
      <c r="C26" s="370"/>
      <c r="D26" s="370"/>
      <c r="E26" s="370"/>
      <c r="F26" s="370"/>
    </row>
    <row r="27" spans="1:15" ht="15" thickBot="1" x14ac:dyDescent="0.4"/>
    <row r="28" spans="1:15" s="372" customFormat="1" ht="15" thickBot="1" x14ac:dyDescent="0.4">
      <c r="A28" s="371"/>
      <c r="C28" s="374"/>
      <c r="D28" s="550" t="s">
        <v>332</v>
      </c>
      <c r="E28" s="551"/>
      <c r="F28" s="551"/>
      <c r="G28" s="552" t="s">
        <v>333</v>
      </c>
      <c r="H28" s="553"/>
      <c r="I28" s="553"/>
      <c r="J28" s="553"/>
      <c r="K28" s="553"/>
      <c r="L28" s="553"/>
      <c r="M28" s="553"/>
      <c r="N28" s="553"/>
      <c r="O28" s="554"/>
    </row>
    <row r="29" spans="1:15" s="372" customFormat="1" ht="116" x14ac:dyDescent="0.35">
      <c r="A29" s="375" t="s">
        <v>5</v>
      </c>
      <c r="B29" s="376" t="s">
        <v>0</v>
      </c>
      <c r="C29" s="377" t="s">
        <v>334</v>
      </c>
      <c r="D29" s="389" t="s">
        <v>335</v>
      </c>
      <c r="E29" s="377" t="s">
        <v>336</v>
      </c>
      <c r="F29" s="389" t="s">
        <v>369</v>
      </c>
      <c r="G29" s="378" t="s">
        <v>338</v>
      </c>
      <c r="H29" s="379" t="s">
        <v>339</v>
      </c>
      <c r="I29" s="379" t="s">
        <v>340</v>
      </c>
      <c r="J29" s="379" t="s">
        <v>341</v>
      </c>
      <c r="K29" s="379" t="s">
        <v>342</v>
      </c>
      <c r="L29" s="379" t="s">
        <v>343</v>
      </c>
      <c r="M29" s="379" t="s">
        <v>344</v>
      </c>
      <c r="N29" s="379" t="s">
        <v>345</v>
      </c>
      <c r="O29" s="378" t="s">
        <v>346</v>
      </c>
    </row>
    <row r="30" spans="1:15" s="315" customFormat="1" x14ac:dyDescent="0.35">
      <c r="A30" s="381">
        <v>3</v>
      </c>
      <c r="B30" s="382" t="s">
        <v>370</v>
      </c>
      <c r="C30" s="383">
        <v>350</v>
      </c>
      <c r="D30" s="383">
        <v>10</v>
      </c>
      <c r="E30" s="383">
        <v>10</v>
      </c>
      <c r="F30" s="383">
        <v>20</v>
      </c>
      <c r="G30" s="337">
        <v>35</v>
      </c>
      <c r="H30" s="383">
        <v>5</v>
      </c>
      <c r="I30" s="383" t="s">
        <v>4</v>
      </c>
      <c r="J30" s="383">
        <v>1</v>
      </c>
      <c r="K30" s="383" t="s">
        <v>1</v>
      </c>
      <c r="L30" s="383">
        <v>0.5</v>
      </c>
      <c r="M30" s="383">
        <v>6</v>
      </c>
      <c r="N30" s="384" t="s">
        <v>351</v>
      </c>
      <c r="O30" s="381">
        <v>0.8</v>
      </c>
    </row>
    <row r="31" spans="1:15" s="315" customFormat="1" x14ac:dyDescent="0.35">
      <c r="A31" s="381">
        <v>4</v>
      </c>
      <c r="B31" s="382" t="s">
        <v>371</v>
      </c>
      <c r="C31" s="383">
        <v>380</v>
      </c>
      <c r="D31" s="383">
        <v>11</v>
      </c>
      <c r="E31" s="383">
        <v>11</v>
      </c>
      <c r="F31" s="383">
        <v>28</v>
      </c>
      <c r="G31" s="337">
        <v>35</v>
      </c>
      <c r="H31" s="383">
        <v>6</v>
      </c>
      <c r="I31" s="383" t="s">
        <v>4</v>
      </c>
      <c r="J31" s="383">
        <v>2</v>
      </c>
      <c r="K31" s="383" t="s">
        <v>1</v>
      </c>
      <c r="L31" s="383">
        <v>0.5</v>
      </c>
      <c r="M31" s="383">
        <v>6</v>
      </c>
      <c r="N31" s="384" t="s">
        <v>351</v>
      </c>
      <c r="O31" s="381">
        <v>0.8</v>
      </c>
    </row>
    <row r="32" spans="1:15" s="315" customFormat="1" x14ac:dyDescent="0.35">
      <c r="A32" s="381">
        <v>5</v>
      </c>
      <c r="B32" s="382" t="s">
        <v>372</v>
      </c>
      <c r="C32" s="383">
        <v>380</v>
      </c>
      <c r="D32" s="383">
        <v>11</v>
      </c>
      <c r="E32" s="383">
        <v>12</v>
      </c>
      <c r="F32" s="383">
        <v>28</v>
      </c>
      <c r="G32" s="337">
        <v>35</v>
      </c>
      <c r="H32" s="383">
        <v>6</v>
      </c>
      <c r="I32" s="383" t="s">
        <v>4</v>
      </c>
      <c r="J32" s="383">
        <v>2</v>
      </c>
      <c r="K32" s="383" t="s">
        <v>1</v>
      </c>
      <c r="L32" s="383">
        <v>0.5</v>
      </c>
      <c r="M32" s="383">
        <v>6</v>
      </c>
      <c r="N32" s="384" t="s">
        <v>351</v>
      </c>
      <c r="O32" s="381">
        <v>0.8</v>
      </c>
    </row>
    <row r="33" spans="1:15" s="315" customFormat="1" x14ac:dyDescent="0.35">
      <c r="A33" s="383">
        <v>6</v>
      </c>
      <c r="B33" s="382" t="s">
        <v>373</v>
      </c>
      <c r="C33" s="383">
        <v>270</v>
      </c>
      <c r="D33" s="383">
        <v>7</v>
      </c>
      <c r="E33" s="383">
        <v>7</v>
      </c>
      <c r="F33" s="383">
        <v>28</v>
      </c>
      <c r="G33" s="337">
        <v>35</v>
      </c>
      <c r="H33" s="383">
        <v>6</v>
      </c>
      <c r="I33" s="383" t="s">
        <v>4</v>
      </c>
      <c r="J33" s="383">
        <v>2</v>
      </c>
      <c r="K33" s="383" t="s">
        <v>1</v>
      </c>
      <c r="L33" s="383">
        <v>0.5</v>
      </c>
      <c r="M33" s="383">
        <v>6</v>
      </c>
      <c r="N33" s="384" t="s">
        <v>351</v>
      </c>
      <c r="O33" s="381">
        <v>0.8</v>
      </c>
    </row>
    <row r="34" spans="1:15" s="315" customFormat="1" x14ac:dyDescent="0.35">
      <c r="A34" s="383">
        <v>7</v>
      </c>
      <c r="B34" s="382" t="s">
        <v>374</v>
      </c>
      <c r="C34" s="383">
        <v>180</v>
      </c>
      <c r="D34" s="383">
        <v>5</v>
      </c>
      <c r="E34" s="383">
        <v>5</v>
      </c>
      <c r="F34" s="383">
        <v>20</v>
      </c>
      <c r="G34" s="337">
        <v>35</v>
      </c>
      <c r="H34" s="383">
        <v>5</v>
      </c>
      <c r="I34" s="383" t="s">
        <v>4</v>
      </c>
      <c r="J34" s="383">
        <v>1</v>
      </c>
      <c r="K34" s="383" t="s">
        <v>1</v>
      </c>
      <c r="L34" s="383">
        <v>0.5</v>
      </c>
      <c r="M34" s="383">
        <v>6</v>
      </c>
      <c r="N34" s="384" t="s">
        <v>351</v>
      </c>
      <c r="O34" s="381">
        <v>0.8</v>
      </c>
    </row>
    <row r="35" spans="1:15" x14ac:dyDescent="0.35">
      <c r="A35" s="383">
        <v>8</v>
      </c>
      <c r="B35" s="382" t="s">
        <v>375</v>
      </c>
      <c r="C35" s="383">
        <v>750</v>
      </c>
      <c r="D35" s="383">
        <v>17</v>
      </c>
      <c r="E35" s="383">
        <v>17</v>
      </c>
      <c r="F35" s="383">
        <v>28</v>
      </c>
      <c r="G35" s="337">
        <v>35</v>
      </c>
      <c r="H35" s="383">
        <v>8</v>
      </c>
      <c r="I35" s="383" t="s">
        <v>4</v>
      </c>
      <c r="J35" s="383">
        <v>2</v>
      </c>
      <c r="K35" s="383" t="s">
        <v>1</v>
      </c>
      <c r="L35" s="383">
        <v>0.5</v>
      </c>
      <c r="M35" s="383">
        <v>6</v>
      </c>
      <c r="N35" s="384" t="s">
        <v>351</v>
      </c>
      <c r="O35" s="381">
        <v>0.8</v>
      </c>
    </row>
    <row r="36" spans="1:15" x14ac:dyDescent="0.35">
      <c r="A36" s="383">
        <v>9</v>
      </c>
      <c r="B36" s="382" t="s">
        <v>376</v>
      </c>
      <c r="C36" s="383">
        <v>170</v>
      </c>
      <c r="D36" s="383">
        <v>5</v>
      </c>
      <c r="E36" s="383">
        <v>5</v>
      </c>
      <c r="F36" s="383">
        <v>28</v>
      </c>
      <c r="G36" s="337">
        <v>35</v>
      </c>
      <c r="H36" s="383">
        <v>6</v>
      </c>
      <c r="I36" s="383" t="s">
        <v>4</v>
      </c>
      <c r="J36" s="383">
        <v>2</v>
      </c>
      <c r="K36" s="383" t="s">
        <v>1</v>
      </c>
      <c r="L36" s="383">
        <v>0.5</v>
      </c>
      <c r="M36" s="383">
        <v>6</v>
      </c>
      <c r="N36" s="384" t="s">
        <v>351</v>
      </c>
      <c r="O36" s="381">
        <v>0.8</v>
      </c>
    </row>
    <row r="37" spans="1:15" x14ac:dyDescent="0.35">
      <c r="A37" s="383">
        <v>10</v>
      </c>
      <c r="B37" s="382" t="s">
        <v>377</v>
      </c>
      <c r="C37" s="383">
        <v>150</v>
      </c>
      <c r="D37" s="383">
        <v>4</v>
      </c>
      <c r="E37" s="383">
        <v>4</v>
      </c>
      <c r="F37" s="383">
        <v>28</v>
      </c>
      <c r="G37" s="337">
        <v>35</v>
      </c>
      <c r="H37" s="383">
        <v>6</v>
      </c>
      <c r="I37" s="383" t="s">
        <v>4</v>
      </c>
      <c r="J37" s="383">
        <v>2</v>
      </c>
      <c r="K37" s="383" t="s">
        <v>1</v>
      </c>
      <c r="L37" s="383">
        <v>0.5</v>
      </c>
      <c r="M37" s="383">
        <v>6</v>
      </c>
      <c r="N37" s="384" t="s">
        <v>351</v>
      </c>
      <c r="O37" s="381">
        <v>0.8</v>
      </c>
    </row>
    <row r="38" spans="1:15" x14ac:dyDescent="0.35">
      <c r="A38" s="383">
        <v>11</v>
      </c>
      <c r="B38" s="382" t="s">
        <v>378</v>
      </c>
      <c r="C38" s="383">
        <v>90</v>
      </c>
      <c r="D38" s="383">
        <v>3</v>
      </c>
      <c r="E38" s="383">
        <v>3</v>
      </c>
      <c r="F38" s="383">
        <v>20</v>
      </c>
      <c r="G38" s="337">
        <v>35</v>
      </c>
      <c r="H38" s="383">
        <v>5</v>
      </c>
      <c r="I38" s="383" t="s">
        <v>4</v>
      </c>
      <c r="J38" s="383">
        <v>1</v>
      </c>
      <c r="K38" s="383" t="s">
        <v>1</v>
      </c>
      <c r="L38" s="383">
        <v>0.5</v>
      </c>
      <c r="M38" s="383">
        <v>6</v>
      </c>
      <c r="N38" s="384" t="s">
        <v>351</v>
      </c>
      <c r="O38" s="381">
        <v>0.8</v>
      </c>
    </row>
    <row r="39" spans="1:15" x14ac:dyDescent="0.35">
      <c r="A39" s="383">
        <v>13</v>
      </c>
      <c r="B39" s="382" t="s">
        <v>379</v>
      </c>
      <c r="C39" s="383">
        <v>350</v>
      </c>
      <c r="D39" s="383">
        <v>11</v>
      </c>
      <c r="E39" s="383">
        <v>11</v>
      </c>
      <c r="F39" s="383">
        <v>28</v>
      </c>
      <c r="G39" s="337">
        <v>35</v>
      </c>
      <c r="H39" s="383">
        <v>7</v>
      </c>
      <c r="I39" s="383" t="s">
        <v>4</v>
      </c>
      <c r="J39" s="383">
        <v>2</v>
      </c>
      <c r="K39" s="383" t="s">
        <v>1</v>
      </c>
      <c r="L39" s="383">
        <v>0.5</v>
      </c>
      <c r="M39" s="383">
        <v>6</v>
      </c>
      <c r="N39" s="384" t="s">
        <v>351</v>
      </c>
      <c r="O39" s="381">
        <v>0.8</v>
      </c>
    </row>
    <row r="40" spans="1:15" x14ac:dyDescent="0.35">
      <c r="A40" s="383">
        <v>14</v>
      </c>
      <c r="B40" s="382" t="s">
        <v>380</v>
      </c>
      <c r="C40" s="383">
        <v>320</v>
      </c>
      <c r="D40" s="383">
        <v>7</v>
      </c>
      <c r="E40" s="383">
        <v>7</v>
      </c>
      <c r="F40" s="383">
        <v>28</v>
      </c>
      <c r="G40" s="337">
        <v>35</v>
      </c>
      <c r="H40" s="383">
        <v>6</v>
      </c>
      <c r="I40" s="383" t="s">
        <v>4</v>
      </c>
      <c r="J40" s="383">
        <v>2</v>
      </c>
      <c r="K40" s="383" t="s">
        <v>1</v>
      </c>
      <c r="L40" s="383">
        <v>0.5</v>
      </c>
      <c r="M40" s="383">
        <v>6</v>
      </c>
      <c r="N40" s="384" t="s">
        <v>351</v>
      </c>
      <c r="O40" s="381">
        <v>0.8</v>
      </c>
    </row>
    <row r="41" spans="1:15" s="395" customFormat="1" x14ac:dyDescent="0.35">
      <c r="A41" s="390"/>
      <c r="B41" s="391"/>
      <c r="C41" s="390"/>
      <c r="D41" s="390">
        <f>SUM(D30:D40)</f>
        <v>91</v>
      </c>
      <c r="E41" s="390">
        <f>SUM(E30:E40)</f>
        <v>92</v>
      </c>
      <c r="F41" s="390"/>
      <c r="G41" s="392"/>
      <c r="H41" s="390"/>
      <c r="I41" s="390"/>
      <c r="J41" s="390"/>
      <c r="K41" s="390"/>
      <c r="L41" s="390"/>
      <c r="M41" s="390"/>
      <c r="N41" s="393"/>
      <c r="O41" s="394"/>
    </row>
    <row r="42" spans="1:15" s="395" customFormat="1" x14ac:dyDescent="0.35">
      <c r="A42" s="390"/>
      <c r="B42" s="391"/>
      <c r="C42" s="390"/>
      <c r="D42" s="390">
        <f>D24+D41</f>
        <v>227</v>
      </c>
      <c r="E42" s="390">
        <f>E24+E41</f>
        <v>228</v>
      </c>
      <c r="F42" s="390"/>
      <c r="G42" s="392"/>
      <c r="H42" s="390"/>
      <c r="I42" s="390"/>
      <c r="J42" s="390"/>
      <c r="K42" s="390"/>
      <c r="L42" s="390"/>
      <c r="M42" s="390"/>
      <c r="N42" s="393"/>
      <c r="O42" s="394"/>
    </row>
    <row r="43" spans="1:15" s="395" customFormat="1" x14ac:dyDescent="0.35">
      <c r="A43" s="390"/>
      <c r="B43" s="391"/>
      <c r="C43" s="390"/>
      <c r="D43" s="390"/>
      <c r="E43" s="390"/>
      <c r="F43" s="390"/>
      <c r="G43" s="392"/>
      <c r="H43" s="390"/>
      <c r="I43" s="390"/>
      <c r="J43" s="390"/>
      <c r="K43" s="390"/>
      <c r="L43" s="390"/>
      <c r="M43" s="390"/>
      <c r="N43" s="393"/>
      <c r="O43" s="394"/>
    </row>
    <row r="44" spans="1:15" s="395" customFormat="1" x14ac:dyDescent="0.35">
      <c r="A44" s="390"/>
      <c r="B44" s="391"/>
      <c r="C44" s="390"/>
      <c r="D44" s="390"/>
      <c r="E44" s="390"/>
      <c r="F44" s="390"/>
      <c r="G44" s="392"/>
      <c r="H44" s="390"/>
      <c r="I44" s="390"/>
      <c r="J44" s="390"/>
      <c r="K44" s="390"/>
      <c r="L44" s="390"/>
      <c r="M44" s="390"/>
      <c r="N44" s="393"/>
      <c r="O44" s="394"/>
    </row>
    <row r="45" spans="1:15" s="315" customFormat="1" x14ac:dyDescent="0.35">
      <c r="A45" s="555" t="s">
        <v>385</v>
      </c>
      <c r="B45" s="556"/>
      <c r="C45" s="556"/>
      <c r="D45" s="556"/>
      <c r="E45" s="556"/>
      <c r="F45" s="556"/>
      <c r="G45" s="556"/>
      <c r="H45" s="556"/>
      <c r="I45" s="556"/>
      <c r="J45" s="556"/>
      <c r="K45" s="556"/>
      <c r="L45" s="556"/>
      <c r="M45" s="556"/>
      <c r="N45" s="556"/>
      <c r="O45" s="557"/>
    </row>
    <row r="46" spans="1:15" x14ac:dyDescent="0.35">
      <c r="A46" s="383">
        <v>1</v>
      </c>
      <c r="B46" s="386" t="s">
        <v>386</v>
      </c>
      <c r="C46" s="383" t="s">
        <v>387</v>
      </c>
      <c r="D46" s="383">
        <v>7</v>
      </c>
      <c r="E46" s="383">
        <v>7</v>
      </c>
      <c r="F46" s="383">
        <v>20</v>
      </c>
      <c r="G46" s="337">
        <v>30</v>
      </c>
      <c r="H46" s="383">
        <v>5</v>
      </c>
      <c r="I46" s="383" t="s">
        <v>4</v>
      </c>
      <c r="J46" s="383">
        <v>1</v>
      </c>
      <c r="K46" s="383" t="s">
        <v>1</v>
      </c>
      <c r="L46" s="383">
        <v>0.5</v>
      </c>
      <c r="M46" s="383">
        <v>6</v>
      </c>
      <c r="N46" s="384" t="s">
        <v>351</v>
      </c>
      <c r="O46" s="381">
        <v>0.8</v>
      </c>
    </row>
    <row r="47" spans="1:15" x14ac:dyDescent="0.35">
      <c r="A47" s="383">
        <v>2</v>
      </c>
      <c r="B47" s="386" t="s">
        <v>388</v>
      </c>
      <c r="C47" s="383" t="s">
        <v>389</v>
      </c>
      <c r="D47" s="383">
        <v>6</v>
      </c>
      <c r="E47" s="383">
        <v>6</v>
      </c>
      <c r="F47" s="383">
        <v>20</v>
      </c>
      <c r="G47" s="337">
        <v>15</v>
      </c>
      <c r="H47" s="383">
        <v>5</v>
      </c>
      <c r="I47" s="383" t="s">
        <v>390</v>
      </c>
      <c r="J47" s="383">
        <v>1</v>
      </c>
      <c r="K47" s="383" t="s">
        <v>1</v>
      </c>
      <c r="L47" s="383">
        <v>0.5</v>
      </c>
      <c r="M47" s="383">
        <v>4</v>
      </c>
      <c r="N47" s="384" t="s">
        <v>351</v>
      </c>
      <c r="O47" s="381">
        <v>0.8</v>
      </c>
    </row>
    <row r="48" spans="1:15" x14ac:dyDescent="0.35">
      <c r="D48" s="3">
        <f>SUM(D46:D47)</f>
        <v>13</v>
      </c>
      <c r="E48" s="3">
        <f>SUM(E46:E47)</f>
        <v>13</v>
      </c>
    </row>
    <row r="52" spans="9:9" x14ac:dyDescent="0.35">
      <c r="I52" s="3">
        <f>227+13</f>
        <v>240</v>
      </c>
    </row>
    <row r="53" spans="9:9" x14ac:dyDescent="0.35">
      <c r="I53" s="3">
        <f>I52*0.7*0.7</f>
        <v>117.6</v>
      </c>
    </row>
    <row r="54" spans="9:9" x14ac:dyDescent="0.35">
      <c r="I54" s="3">
        <f>240*35*0.4</f>
        <v>3360</v>
      </c>
    </row>
  </sheetData>
  <mergeCells count="5">
    <mergeCell ref="D5:F5"/>
    <mergeCell ref="G5:O5"/>
    <mergeCell ref="D28:F28"/>
    <mergeCell ref="G28:O28"/>
    <mergeCell ref="A45:O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"/>
  <sheetViews>
    <sheetView topLeftCell="A4" workbookViewId="0">
      <selection activeCell="C12" sqref="C12"/>
    </sheetView>
  </sheetViews>
  <sheetFormatPr defaultRowHeight="14.5" x14ac:dyDescent="0.35"/>
  <cols>
    <col min="1" max="1" width="34.453125" customWidth="1"/>
    <col min="2" max="2" width="10.1796875" bestFit="1" customWidth="1"/>
    <col min="3" max="3" width="12.1796875" customWidth="1"/>
    <col min="4" max="4" width="10.81640625" customWidth="1"/>
    <col min="5" max="5" width="12.26953125" bestFit="1" customWidth="1"/>
    <col min="7" max="7" width="10" customWidth="1"/>
    <col min="8" max="8" width="12.26953125" bestFit="1" customWidth="1"/>
    <col min="9" max="9" width="13.453125" customWidth="1"/>
    <col min="10" max="10" width="7.81640625" customWidth="1"/>
    <col min="11" max="11" width="8.54296875" customWidth="1"/>
    <col min="12" max="12" width="9.54296875" customWidth="1"/>
    <col min="13" max="13" width="9" customWidth="1"/>
    <col min="14" max="14" width="10.81640625" bestFit="1" customWidth="1"/>
  </cols>
  <sheetData>
    <row r="2" spans="1:15" ht="15" thickBot="1" x14ac:dyDescent="0.4"/>
    <row r="3" spans="1:15" ht="14.5" customHeight="1" x14ac:dyDescent="0.35">
      <c r="A3" s="430" t="s">
        <v>20</v>
      </c>
      <c r="B3" s="4" t="s">
        <v>21</v>
      </c>
      <c r="C3" s="4" t="s">
        <v>21</v>
      </c>
      <c r="D3" s="427" t="s">
        <v>30</v>
      </c>
      <c r="E3" s="427" t="s">
        <v>31</v>
      </c>
      <c r="F3" s="421" t="s">
        <v>32</v>
      </c>
      <c r="G3" s="422"/>
      <c r="H3" s="427" t="s">
        <v>33</v>
      </c>
      <c r="I3" s="427" t="s">
        <v>98</v>
      </c>
      <c r="J3" s="421" t="s">
        <v>97</v>
      </c>
      <c r="K3" s="422"/>
      <c r="L3" s="421" t="s">
        <v>34</v>
      </c>
      <c r="M3" s="422"/>
      <c r="N3" s="427" t="s">
        <v>35</v>
      </c>
      <c r="O3" s="427" t="s">
        <v>36</v>
      </c>
    </row>
    <row r="4" spans="1:15" x14ac:dyDescent="0.35">
      <c r="A4" s="431"/>
      <c r="B4" s="8" t="s">
        <v>22</v>
      </c>
      <c r="C4" s="8" t="s">
        <v>25</v>
      </c>
      <c r="D4" s="428"/>
      <c r="E4" s="428"/>
      <c r="F4" s="423"/>
      <c r="G4" s="424"/>
      <c r="H4" s="428"/>
      <c r="I4" s="428"/>
      <c r="J4" s="423"/>
      <c r="K4" s="424"/>
      <c r="L4" s="423"/>
      <c r="M4" s="424"/>
      <c r="N4" s="428"/>
      <c r="O4" s="428"/>
    </row>
    <row r="5" spans="1:15" x14ac:dyDescent="0.35">
      <c r="A5" s="431"/>
      <c r="B5" s="8" t="s">
        <v>23</v>
      </c>
      <c r="C5" s="8" t="s">
        <v>26</v>
      </c>
      <c r="D5" s="428"/>
      <c r="E5" s="428"/>
      <c r="F5" s="423"/>
      <c r="G5" s="424"/>
      <c r="H5" s="428"/>
      <c r="I5" s="428"/>
      <c r="J5" s="423"/>
      <c r="K5" s="424"/>
      <c r="L5" s="423"/>
      <c r="M5" s="424"/>
      <c r="N5" s="428"/>
      <c r="O5" s="428"/>
    </row>
    <row r="6" spans="1:15" ht="14.5" customHeight="1" x14ac:dyDescent="0.35">
      <c r="A6" s="431"/>
      <c r="B6" s="8" t="s">
        <v>24</v>
      </c>
      <c r="C6" s="8" t="s">
        <v>27</v>
      </c>
      <c r="D6" s="428"/>
      <c r="E6" s="428"/>
      <c r="F6" s="423"/>
      <c r="G6" s="424"/>
      <c r="H6" s="428"/>
      <c r="I6" s="428"/>
      <c r="J6" s="423"/>
      <c r="K6" s="424"/>
      <c r="L6" s="423"/>
      <c r="M6" s="424"/>
      <c r="N6" s="428"/>
      <c r="O6" s="428"/>
    </row>
    <row r="7" spans="1:15" ht="15" thickBot="1" x14ac:dyDescent="0.4">
      <c r="A7" s="431"/>
      <c r="B7" s="9"/>
      <c r="C7" s="8" t="s">
        <v>28</v>
      </c>
      <c r="D7" s="428"/>
      <c r="E7" s="428"/>
      <c r="F7" s="423"/>
      <c r="G7" s="424"/>
      <c r="H7" s="428"/>
      <c r="I7" s="428"/>
      <c r="J7" s="423"/>
      <c r="K7" s="424"/>
      <c r="L7" s="425"/>
      <c r="M7" s="426"/>
      <c r="N7" s="428"/>
      <c r="O7" s="428"/>
    </row>
    <row r="8" spans="1:15" ht="15" thickBot="1" x14ac:dyDescent="0.4">
      <c r="A8" s="431"/>
      <c r="B8" s="9"/>
      <c r="C8" s="8" t="s">
        <v>29</v>
      </c>
      <c r="D8" s="429"/>
      <c r="E8" s="429"/>
      <c r="F8" s="425"/>
      <c r="G8" s="426"/>
      <c r="H8" s="429"/>
      <c r="I8" s="429"/>
      <c r="J8" s="425"/>
      <c r="K8" s="426"/>
      <c r="L8" s="4" t="s">
        <v>37</v>
      </c>
      <c r="M8" s="4" t="s">
        <v>38</v>
      </c>
      <c r="N8" s="429"/>
      <c r="O8" s="429"/>
    </row>
    <row r="9" spans="1:15" ht="15" thickBot="1" x14ac:dyDescent="0.4">
      <c r="A9" s="432"/>
      <c r="B9" s="4" t="s">
        <v>39</v>
      </c>
      <c r="C9" s="4" t="s">
        <v>39</v>
      </c>
      <c r="D9" s="4" t="s">
        <v>40</v>
      </c>
      <c r="E9" s="4" t="s">
        <v>40</v>
      </c>
      <c r="F9" s="4" t="s">
        <v>39</v>
      </c>
      <c r="G9" s="4" t="s">
        <v>41</v>
      </c>
      <c r="H9" s="4" t="s">
        <v>42</v>
      </c>
      <c r="I9" s="7" t="s">
        <v>42</v>
      </c>
      <c r="J9" s="7" t="s">
        <v>42</v>
      </c>
      <c r="K9" s="4" t="s">
        <v>41</v>
      </c>
      <c r="L9" s="4" t="s">
        <v>43</v>
      </c>
      <c r="M9" s="4" t="s">
        <v>43</v>
      </c>
      <c r="N9" s="4" t="s">
        <v>44</v>
      </c>
      <c r="O9" s="21" t="s">
        <v>41</v>
      </c>
    </row>
    <row r="10" spans="1:15" ht="44" thickBot="1" x14ac:dyDescent="0.4">
      <c r="A10" s="10" t="s">
        <v>46</v>
      </c>
      <c r="B10" s="11">
        <f>bilant!F9/1000</f>
        <v>55.141528434999998</v>
      </c>
      <c r="C10" s="5" t="s">
        <v>2</v>
      </c>
      <c r="D10" s="11">
        <f>B10/8.23</f>
        <v>6.7000642083839601</v>
      </c>
      <c r="E10" s="5" t="s">
        <v>2</v>
      </c>
      <c r="F10" s="5" t="s">
        <v>2</v>
      </c>
      <c r="G10" s="5" t="s">
        <v>2</v>
      </c>
      <c r="H10" s="11">
        <f>B10*287.11/1000</f>
        <v>15.831684228972851</v>
      </c>
      <c r="I10" s="5" t="s">
        <v>2</v>
      </c>
      <c r="J10" s="5" t="s">
        <v>2</v>
      </c>
      <c r="K10" s="5" t="s">
        <v>2</v>
      </c>
      <c r="L10" s="5" t="s">
        <v>2</v>
      </c>
      <c r="M10" s="5" t="s">
        <v>2</v>
      </c>
      <c r="N10" s="5" t="s">
        <v>2</v>
      </c>
      <c r="O10" s="12" t="s">
        <v>2</v>
      </c>
    </row>
    <row r="11" spans="1:15" ht="44" thickBot="1" x14ac:dyDescent="0.4">
      <c r="A11" s="10" t="s">
        <v>47</v>
      </c>
      <c r="B11" s="11">
        <f>bilant!F15/1000</f>
        <v>125.68597042000003</v>
      </c>
      <c r="C11" s="5" t="s">
        <v>2</v>
      </c>
      <c r="D11" s="11">
        <f>B11/8.23</f>
        <v>15.271685348724183</v>
      </c>
      <c r="E11" s="5" t="s">
        <v>2</v>
      </c>
      <c r="F11" s="5" t="s">
        <v>2</v>
      </c>
      <c r="G11" s="5" t="s">
        <v>2</v>
      </c>
      <c r="H11" s="11">
        <f>B11*287.11/1000</f>
        <v>36.085698967286213</v>
      </c>
      <c r="I11" s="5" t="s">
        <v>2</v>
      </c>
      <c r="J11" s="5" t="s">
        <v>2</v>
      </c>
      <c r="K11" s="5" t="s">
        <v>2</v>
      </c>
      <c r="L11" s="5" t="s">
        <v>2</v>
      </c>
      <c r="M11" s="5" t="s">
        <v>2</v>
      </c>
      <c r="N11" s="5"/>
      <c r="O11" s="12"/>
    </row>
    <row r="12" spans="1:15" ht="16" thickBot="1" x14ac:dyDescent="0.4">
      <c r="A12" s="13" t="s">
        <v>95</v>
      </c>
      <c r="B12" s="16" t="s">
        <v>2</v>
      </c>
      <c r="C12" s="14">
        <f>(bilant!F27-bilant!F28)/1000</f>
        <v>38.780220999999997</v>
      </c>
      <c r="D12" s="16" t="s">
        <v>2</v>
      </c>
      <c r="E12" s="14">
        <f>C12/8.23</f>
        <v>4.712056014580801</v>
      </c>
      <c r="F12" s="14">
        <f>B11-C12</f>
        <v>86.905749420000035</v>
      </c>
      <c r="G12" s="15">
        <f>1-C12/B11</f>
        <v>0.69145147329960843</v>
      </c>
      <c r="H12" s="17" t="s">
        <v>2</v>
      </c>
      <c r="I12" s="14">
        <f>C12*287.11/1000</f>
        <v>11.13418925131</v>
      </c>
      <c r="J12" s="14">
        <f>H11-I12</f>
        <v>24.951509715976215</v>
      </c>
      <c r="K12" s="15">
        <f>J12/H11</f>
        <v>0.69145147329960854</v>
      </c>
      <c r="L12" s="84">
        <f>'DG LED'!C87/'DG LED'!E91/1000</f>
        <v>583.08407495653296</v>
      </c>
      <c r="M12" s="84">
        <f>'DG LED'!E87/'DG LED'!E91/1000</f>
        <v>692.36007158649397</v>
      </c>
      <c r="N12" s="85">
        <f>ACB!L32</f>
        <v>-512061.43185134639</v>
      </c>
      <c r="O12" s="86">
        <f>ACB!L33</f>
        <v>-0.30529795378121816</v>
      </c>
    </row>
    <row r="13" spans="1:15" ht="16" thickBot="1" x14ac:dyDescent="0.4">
      <c r="A13" s="13" t="s">
        <v>96</v>
      </c>
      <c r="B13" s="16" t="s">
        <v>2</v>
      </c>
      <c r="C13" s="14">
        <f>(bilant!F21-bilant!F22)/1000</f>
        <v>75.879589635000002</v>
      </c>
      <c r="D13" s="16" t="s">
        <v>2</v>
      </c>
      <c r="E13" s="14">
        <f>C13/8.23</f>
        <v>9.2198772339003643</v>
      </c>
      <c r="F13" s="14">
        <f>B11-C13</f>
        <v>49.80638078500003</v>
      </c>
      <c r="G13" s="15">
        <f>1-C13/B11</f>
        <v>0.39627637530715587</v>
      </c>
      <c r="H13" s="17" t="s">
        <v>2</v>
      </c>
      <c r="I13" s="14">
        <f>C13*287.11/1000</f>
        <v>21.785788980104851</v>
      </c>
      <c r="J13" s="14">
        <f>H11-I13</f>
        <v>14.299909987181362</v>
      </c>
      <c r="K13" s="15">
        <f>J13/H11</f>
        <v>0.39627637530715598</v>
      </c>
      <c r="L13" s="84">
        <f>'DG SODIU'!C87/'DG SODIU'!E91/1000</f>
        <v>545.24283598428747</v>
      </c>
      <c r="M13" s="84">
        <f>'DG SODIU'!E87/'DG SODIU'!E91/1000</f>
        <v>647.40018309828918</v>
      </c>
      <c r="N13" s="85">
        <f>ACB!O32</f>
        <v>-500476.04142047389</v>
      </c>
      <c r="O13" s="86" t="s">
        <v>2</v>
      </c>
    </row>
  </sheetData>
  <mergeCells count="10">
    <mergeCell ref="L3:M7"/>
    <mergeCell ref="N3:N8"/>
    <mergeCell ref="O3:O8"/>
    <mergeCell ref="A3:A9"/>
    <mergeCell ref="D3:D8"/>
    <mergeCell ref="E3:E8"/>
    <mergeCell ref="F3:G8"/>
    <mergeCell ref="H3:H8"/>
    <mergeCell ref="J3:K8"/>
    <mergeCell ref="I3:I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7"/>
  <sheetViews>
    <sheetView workbookViewId="0">
      <selection activeCell="A3" sqref="A3:F13"/>
    </sheetView>
  </sheetViews>
  <sheetFormatPr defaultRowHeight="14.5" x14ac:dyDescent="0.35"/>
  <cols>
    <col min="1" max="1" width="27" customWidth="1"/>
    <col min="2" max="2" width="9.26953125" customWidth="1"/>
    <col min="3" max="4" width="17.453125" customWidth="1"/>
    <col min="5" max="5" width="12.81640625" customWidth="1"/>
    <col min="6" max="6" width="15.54296875" customWidth="1"/>
    <col min="8" max="8" width="8.7265625" style="3"/>
    <col min="9" max="9" width="11.453125" style="3" customWidth="1"/>
    <col min="10" max="10" width="10.453125" bestFit="1" customWidth="1"/>
    <col min="11" max="11" width="8.81640625" bestFit="1" customWidth="1"/>
    <col min="12" max="13" width="9.81640625" bestFit="1" customWidth="1"/>
    <col min="14" max="14" width="8.81640625" bestFit="1" customWidth="1"/>
    <col min="15" max="15" width="12.453125" customWidth="1"/>
  </cols>
  <sheetData>
    <row r="2" spans="1:6" ht="15" thickBot="1" x14ac:dyDescent="0.4"/>
    <row r="3" spans="1:6" ht="15.5" x14ac:dyDescent="0.35">
      <c r="A3" s="443"/>
      <c r="B3" s="444"/>
      <c r="C3" s="448" t="s">
        <v>101</v>
      </c>
      <c r="D3" s="449"/>
      <c r="E3" s="450" t="s">
        <v>96</v>
      </c>
      <c r="F3" s="449"/>
    </row>
    <row r="4" spans="1:6" ht="16" thickBot="1" x14ac:dyDescent="0.4">
      <c r="A4" s="445"/>
      <c r="B4" s="446"/>
      <c r="C4" s="45" t="s">
        <v>102</v>
      </c>
      <c r="D4" s="46" t="s">
        <v>103</v>
      </c>
      <c r="E4" s="43" t="s">
        <v>102</v>
      </c>
      <c r="F4" s="46" t="s">
        <v>103</v>
      </c>
    </row>
    <row r="5" spans="1:6" ht="15.5" x14ac:dyDescent="0.35">
      <c r="A5" s="47" t="s">
        <v>99</v>
      </c>
      <c r="B5" s="48" t="s">
        <v>107</v>
      </c>
      <c r="C5" s="49">
        <f>Indicatori!L12*1000</f>
        <v>583084.07495653292</v>
      </c>
      <c r="D5" s="50">
        <f>C5/2</f>
        <v>291542.03747826646</v>
      </c>
      <c r="E5" s="51">
        <f>Indicatori!L13*1000</f>
        <v>545242.83598428743</v>
      </c>
      <c r="F5" s="50">
        <f>E5/2</f>
        <v>272621.41799214372</v>
      </c>
    </row>
    <row r="6" spans="1:6" ht="15.5" x14ac:dyDescent="0.35">
      <c r="A6" s="447" t="s">
        <v>100</v>
      </c>
      <c r="B6" s="52" t="s">
        <v>107</v>
      </c>
      <c r="C6" s="437">
        <f>bilant!E34*0.5/1.19/'DG LED'!E91</f>
        <v>7838.0279401347807</v>
      </c>
      <c r="D6" s="438"/>
      <c r="E6" s="439">
        <f>Indicatori!F13*1000*0.5/1.19/'DG SODIU'!E91</f>
        <v>4492.0365659948084</v>
      </c>
      <c r="F6" s="438"/>
    </row>
    <row r="7" spans="1:6" ht="15.5" x14ac:dyDescent="0.35">
      <c r="A7" s="447"/>
      <c r="B7" s="52" t="s">
        <v>39</v>
      </c>
      <c r="C7" s="437">
        <f>bilant!E34/1000</f>
        <v>86.905749420000035</v>
      </c>
      <c r="D7" s="438"/>
      <c r="E7" s="439">
        <f>(bilant!F15-bilant!F21+bilant!F22)/1000</f>
        <v>49.80638078500003</v>
      </c>
      <c r="F7" s="438"/>
    </row>
    <row r="8" spans="1:6" ht="15.5" x14ac:dyDescent="0.35">
      <c r="A8" s="44" t="s">
        <v>104</v>
      </c>
      <c r="B8" s="52" t="s">
        <v>45</v>
      </c>
      <c r="C8" s="437">
        <f>C5/C6</f>
        <v>74.39168109759332</v>
      </c>
      <c r="D8" s="438"/>
      <c r="E8" s="451">
        <f>E5/E6</f>
        <v>121.37987480151727</v>
      </c>
      <c r="F8" s="452"/>
    </row>
    <row r="9" spans="1:6" ht="15.5" x14ac:dyDescent="0.35">
      <c r="A9" s="44" t="s">
        <v>105</v>
      </c>
      <c r="B9" s="52" t="s">
        <v>45</v>
      </c>
      <c r="C9" s="437">
        <v>2</v>
      </c>
      <c r="D9" s="438"/>
      <c r="E9" s="439">
        <v>2</v>
      </c>
      <c r="F9" s="438"/>
    </row>
    <row r="10" spans="1:6" ht="15.5" x14ac:dyDescent="0.35">
      <c r="A10" s="44" t="s">
        <v>106</v>
      </c>
      <c r="B10" s="52" t="s">
        <v>45</v>
      </c>
      <c r="C10" s="437">
        <v>10</v>
      </c>
      <c r="D10" s="438"/>
      <c r="E10" s="439">
        <v>10</v>
      </c>
      <c r="F10" s="438"/>
    </row>
    <row r="11" spans="1:6" ht="15.5" x14ac:dyDescent="0.35">
      <c r="A11" s="44" t="s">
        <v>108</v>
      </c>
      <c r="B11" s="53" t="s">
        <v>41</v>
      </c>
      <c r="C11" s="437">
        <v>4</v>
      </c>
      <c r="D11" s="438"/>
      <c r="E11" s="439">
        <v>4</v>
      </c>
      <c r="F11" s="438"/>
    </row>
    <row r="12" spans="1:6" ht="15.5" x14ac:dyDescent="0.35">
      <c r="A12" s="44" t="s">
        <v>112</v>
      </c>
      <c r="B12" s="52" t="s">
        <v>107</v>
      </c>
      <c r="C12" s="437">
        <f>L32</f>
        <v>-512061.43185134639</v>
      </c>
      <c r="D12" s="438"/>
      <c r="E12" s="439">
        <f>O32</f>
        <v>-500476.04142047389</v>
      </c>
      <c r="F12" s="438"/>
    </row>
    <row r="13" spans="1:6" ht="16" thickBot="1" x14ac:dyDescent="0.4">
      <c r="A13" s="45" t="s">
        <v>36</v>
      </c>
      <c r="B13" s="46" t="s">
        <v>41</v>
      </c>
      <c r="C13" s="440">
        <f>L33</f>
        <v>-0.30529795378121816</v>
      </c>
      <c r="D13" s="441"/>
      <c r="E13" s="442" t="s">
        <v>2</v>
      </c>
      <c r="F13" s="441"/>
    </row>
    <row r="17" spans="3:18" x14ac:dyDescent="0.35">
      <c r="H17" s="434" t="s">
        <v>109</v>
      </c>
      <c r="I17" s="434" t="s">
        <v>110</v>
      </c>
      <c r="J17" s="433" t="s">
        <v>101</v>
      </c>
      <c r="K17" s="433"/>
      <c r="L17" s="433"/>
      <c r="M17" s="433" t="s">
        <v>96</v>
      </c>
      <c r="N17" s="433"/>
      <c r="O17" s="433"/>
    </row>
    <row r="18" spans="3:18" x14ac:dyDescent="0.35">
      <c r="F18">
        <f>5100/15000</f>
        <v>0.34</v>
      </c>
      <c r="H18" s="435"/>
      <c r="I18" s="435"/>
      <c r="J18" s="20" t="s">
        <v>111</v>
      </c>
      <c r="K18" s="20" t="s">
        <v>100</v>
      </c>
      <c r="L18" s="20" t="s">
        <v>112</v>
      </c>
      <c r="M18" s="20" t="s">
        <v>111</v>
      </c>
      <c r="N18" s="20" t="s">
        <v>100</v>
      </c>
      <c r="O18" s="20" t="s">
        <v>112</v>
      </c>
    </row>
    <row r="19" spans="3:18" x14ac:dyDescent="0.35">
      <c r="C19">
        <v>50000</v>
      </c>
      <c r="D19">
        <f>C19*1.0914</f>
        <v>54569.999999999993</v>
      </c>
      <c r="H19" s="436"/>
      <c r="I19" s="436"/>
      <c r="J19" s="20" t="s">
        <v>113</v>
      </c>
      <c r="K19" s="20" t="s">
        <v>113</v>
      </c>
      <c r="L19" s="20" t="s">
        <v>113</v>
      </c>
      <c r="M19" s="20" t="s">
        <v>113</v>
      </c>
      <c r="N19" s="20" t="s">
        <v>113</v>
      </c>
      <c r="O19" s="20" t="s">
        <v>113</v>
      </c>
    </row>
    <row r="20" spans="3:18" x14ac:dyDescent="0.35">
      <c r="D20">
        <f>D19*1.0914</f>
        <v>59557.697999999989</v>
      </c>
      <c r="H20" s="20">
        <v>0</v>
      </c>
      <c r="I20" s="20">
        <v>1</v>
      </c>
      <c r="J20" s="82">
        <f>-C5/2</f>
        <v>-291542.03747826646</v>
      </c>
      <c r="K20" s="23">
        <v>0</v>
      </c>
      <c r="L20" s="23">
        <f t="shared" ref="L20:L23" si="0">(K20+J20)*I20</f>
        <v>-291542.03747826646</v>
      </c>
      <c r="M20" s="82">
        <f>-E5/2</f>
        <v>-272621.41799214372</v>
      </c>
      <c r="N20" s="23">
        <v>0</v>
      </c>
      <c r="O20" s="23">
        <f>(N20+M20)*I20</f>
        <v>-272621.41799214372</v>
      </c>
      <c r="Q20" s="6">
        <f>-L20</f>
        <v>291542.03747826646</v>
      </c>
      <c r="R20" s="6">
        <f>-O20</f>
        <v>272621.41799214372</v>
      </c>
    </row>
    <row r="21" spans="3:18" x14ac:dyDescent="0.35">
      <c r="D21">
        <f>D20*1.0914</f>
        <v>65001.271597199986</v>
      </c>
      <c r="H21" s="20">
        <f>H20+1</f>
        <v>1</v>
      </c>
      <c r="I21" s="20">
        <f>ROUND(I20/1.04,4)</f>
        <v>0.96150000000000002</v>
      </c>
      <c r="J21" s="82">
        <f>J20</f>
        <v>-291542.03747826646</v>
      </c>
      <c r="K21" s="23">
        <f>C6/2</f>
        <v>3919.0139700673903</v>
      </c>
      <c r="L21" s="23">
        <f t="shared" si="0"/>
        <v>-276549.53710313345</v>
      </c>
      <c r="M21" s="82">
        <f>M20</f>
        <v>-272621.41799214372</v>
      </c>
      <c r="N21" s="23">
        <f>E6/2</f>
        <v>2246.0182829974042</v>
      </c>
      <c r="O21" s="23">
        <f t="shared" ref="O21:O30" si="1">(N21+M21)*I21</f>
        <v>-259965.94682034416</v>
      </c>
      <c r="Q21" s="6">
        <f t="shared" ref="Q21:Q30" si="2">-L21</f>
        <v>276549.53710313345</v>
      </c>
      <c r="R21" s="6">
        <f t="shared" ref="R21:R30" si="3">-O21</f>
        <v>259965.94682034416</v>
      </c>
    </row>
    <row r="22" spans="3:18" x14ac:dyDescent="0.35">
      <c r="H22" s="20">
        <f t="shared" ref="H22:H30" si="4">H21+1</f>
        <v>2</v>
      </c>
      <c r="I22" s="20">
        <f t="shared" ref="I22:I30" si="5">ROUND(I21/1.04,4)</f>
        <v>0.92449999999999999</v>
      </c>
      <c r="J22" s="82"/>
      <c r="K22" s="23">
        <f>C6</f>
        <v>7838.0279401347807</v>
      </c>
      <c r="L22" s="23">
        <f t="shared" si="0"/>
        <v>7246.2568306546045</v>
      </c>
      <c r="M22" s="82"/>
      <c r="N22" s="23">
        <f>E6</f>
        <v>4492.0365659948084</v>
      </c>
      <c r="O22" s="23">
        <f t="shared" si="1"/>
        <v>4152.8878052622003</v>
      </c>
      <c r="Q22" s="6">
        <f t="shared" si="2"/>
        <v>-7246.2568306546045</v>
      </c>
      <c r="R22" s="6">
        <f t="shared" si="3"/>
        <v>-4152.8878052622003</v>
      </c>
    </row>
    <row r="23" spans="3:18" x14ac:dyDescent="0.35">
      <c r="C23">
        <v>50000</v>
      </c>
      <c r="D23">
        <f>C23*1.1319</f>
        <v>56594.999999999993</v>
      </c>
      <c r="H23" s="20">
        <f t="shared" si="4"/>
        <v>3</v>
      </c>
      <c r="I23" s="20">
        <f t="shared" si="5"/>
        <v>0.88890000000000002</v>
      </c>
      <c r="J23" s="82"/>
      <c r="K23" s="23">
        <f t="shared" ref="K23:K30" si="6">K22</f>
        <v>7838.0279401347807</v>
      </c>
      <c r="L23" s="23">
        <f t="shared" si="0"/>
        <v>6967.2230359858067</v>
      </c>
      <c r="M23" s="82"/>
      <c r="N23" s="23">
        <f>N22</f>
        <v>4492.0365659948084</v>
      </c>
      <c r="O23" s="23">
        <f t="shared" si="1"/>
        <v>3992.9713035127852</v>
      </c>
      <c r="Q23" s="6">
        <f t="shared" si="2"/>
        <v>-6967.2230359858067</v>
      </c>
      <c r="R23" s="6">
        <f t="shared" si="3"/>
        <v>-3992.9713035127852</v>
      </c>
    </row>
    <row r="24" spans="3:18" x14ac:dyDescent="0.35">
      <c r="C24">
        <v>-15000</v>
      </c>
      <c r="D24">
        <f>(D23+C24)*1.1319</f>
        <v>47081.380499999985</v>
      </c>
      <c r="H24" s="20">
        <f t="shared" si="4"/>
        <v>4</v>
      </c>
      <c r="I24" s="20">
        <f t="shared" si="5"/>
        <v>0.85470000000000002</v>
      </c>
      <c r="J24" s="82"/>
      <c r="K24" s="23">
        <f t="shared" si="6"/>
        <v>7838.0279401347807</v>
      </c>
      <c r="L24" s="23">
        <f>(K24+J24)*I24</f>
        <v>6699.1624804331968</v>
      </c>
      <c r="M24" s="82"/>
      <c r="N24" s="23">
        <f t="shared" ref="N24:N30" si="7">N23</f>
        <v>4492.0365659948084</v>
      </c>
      <c r="O24" s="23">
        <f t="shared" si="1"/>
        <v>3839.343652955763</v>
      </c>
      <c r="Q24" s="6">
        <f t="shared" si="2"/>
        <v>-6699.1624804331968</v>
      </c>
      <c r="R24" s="6">
        <f t="shared" si="3"/>
        <v>-3839.343652955763</v>
      </c>
    </row>
    <row r="25" spans="3:18" x14ac:dyDescent="0.35">
      <c r="C25">
        <v>-25000</v>
      </c>
      <c r="D25">
        <f t="shared" ref="D25:D26" si="8">(D24+C25)*1.1319</f>
        <v>24993.914587949981</v>
      </c>
      <c r="H25" s="20">
        <f t="shared" si="4"/>
        <v>5</v>
      </c>
      <c r="I25" s="20">
        <f t="shared" si="5"/>
        <v>0.82179999999999997</v>
      </c>
      <c r="J25" s="82"/>
      <c r="K25" s="23">
        <f t="shared" si="6"/>
        <v>7838.0279401347807</v>
      </c>
      <c r="L25" s="23">
        <f t="shared" ref="L25:L30" si="9">(K25+J25)*I25</f>
        <v>6441.2913612027623</v>
      </c>
      <c r="M25" s="82"/>
      <c r="N25" s="23">
        <f t="shared" si="7"/>
        <v>4492.0365659948084</v>
      </c>
      <c r="O25" s="23">
        <f t="shared" si="1"/>
        <v>3691.5556499345334</v>
      </c>
      <c r="Q25" s="6">
        <f t="shared" si="2"/>
        <v>-6441.2913612027623</v>
      </c>
      <c r="R25" s="6">
        <f t="shared" si="3"/>
        <v>-3691.5556499345334</v>
      </c>
    </row>
    <row r="26" spans="3:18" x14ac:dyDescent="0.35">
      <c r="C26">
        <v>-25000</v>
      </c>
      <c r="D26">
        <f t="shared" si="8"/>
        <v>-6.8880778994164276</v>
      </c>
      <c r="H26" s="20">
        <f t="shared" si="4"/>
        <v>6</v>
      </c>
      <c r="I26" s="20">
        <f t="shared" si="5"/>
        <v>0.79020000000000001</v>
      </c>
      <c r="J26" s="82"/>
      <c r="K26" s="23">
        <f t="shared" si="6"/>
        <v>7838.0279401347807</v>
      </c>
      <c r="L26" s="23">
        <f t="shared" si="9"/>
        <v>6193.6096782945042</v>
      </c>
      <c r="M26" s="82"/>
      <c r="N26" s="23">
        <f t="shared" si="7"/>
        <v>4492.0365659948084</v>
      </c>
      <c r="O26" s="23">
        <f t="shared" si="1"/>
        <v>3549.6072944490975</v>
      </c>
      <c r="Q26" s="6">
        <f t="shared" si="2"/>
        <v>-6193.6096782945042</v>
      </c>
      <c r="R26" s="6">
        <f t="shared" si="3"/>
        <v>-3549.6072944490975</v>
      </c>
    </row>
    <row r="27" spans="3:18" x14ac:dyDescent="0.35">
      <c r="H27" s="20">
        <f t="shared" si="4"/>
        <v>7</v>
      </c>
      <c r="I27" s="20">
        <f t="shared" si="5"/>
        <v>0.75980000000000003</v>
      </c>
      <c r="J27" s="82"/>
      <c r="K27" s="23">
        <f t="shared" si="6"/>
        <v>7838.0279401347807</v>
      </c>
      <c r="L27" s="23">
        <f t="shared" si="9"/>
        <v>5955.3336289144063</v>
      </c>
      <c r="M27" s="82"/>
      <c r="N27" s="23">
        <f t="shared" si="7"/>
        <v>4492.0365659948084</v>
      </c>
      <c r="O27" s="23">
        <f t="shared" si="1"/>
        <v>3413.0493828428557</v>
      </c>
      <c r="Q27" s="6">
        <f t="shared" si="2"/>
        <v>-5955.3336289144063</v>
      </c>
      <c r="R27" s="6">
        <f t="shared" si="3"/>
        <v>-3413.0493828428557</v>
      </c>
    </row>
    <row r="28" spans="3:18" x14ac:dyDescent="0.35">
      <c r="H28" s="20">
        <f t="shared" si="4"/>
        <v>8</v>
      </c>
      <c r="I28" s="20">
        <f t="shared" si="5"/>
        <v>0.73060000000000003</v>
      </c>
      <c r="J28" s="82"/>
      <c r="K28" s="23">
        <f t="shared" si="6"/>
        <v>7838.0279401347807</v>
      </c>
      <c r="L28" s="23">
        <f t="shared" si="9"/>
        <v>5726.4632130624714</v>
      </c>
      <c r="M28" s="82"/>
      <c r="N28" s="23">
        <f t="shared" si="7"/>
        <v>4492.0365659948084</v>
      </c>
      <c r="O28" s="23">
        <f t="shared" si="1"/>
        <v>3281.8819151158073</v>
      </c>
      <c r="Q28" s="6">
        <f t="shared" si="2"/>
        <v>-5726.4632130624714</v>
      </c>
      <c r="R28" s="6">
        <f t="shared" si="3"/>
        <v>-3281.8819151158073</v>
      </c>
    </row>
    <row r="29" spans="3:18" x14ac:dyDescent="0.35">
      <c r="C29">
        <f>SUM(C24:C28)</f>
        <v>-65000</v>
      </c>
      <c r="H29" s="20">
        <f t="shared" si="4"/>
        <v>9</v>
      </c>
      <c r="I29" s="20">
        <f t="shared" si="5"/>
        <v>0.70250000000000001</v>
      </c>
      <c r="J29" s="82"/>
      <c r="K29" s="23">
        <f t="shared" si="6"/>
        <v>7838.0279401347807</v>
      </c>
      <c r="L29" s="23">
        <f t="shared" si="9"/>
        <v>5506.2146279446833</v>
      </c>
      <c r="M29" s="82"/>
      <c r="N29" s="23">
        <f t="shared" si="7"/>
        <v>4492.0365659948084</v>
      </c>
      <c r="O29" s="23">
        <f t="shared" si="1"/>
        <v>3155.6556876113527</v>
      </c>
      <c r="Q29" s="6">
        <f t="shared" si="2"/>
        <v>-5506.2146279446833</v>
      </c>
      <c r="R29" s="6">
        <f t="shared" si="3"/>
        <v>-3155.6556876113527</v>
      </c>
    </row>
    <row r="30" spans="3:18" x14ac:dyDescent="0.35">
      <c r="H30" s="20">
        <f t="shared" si="4"/>
        <v>10</v>
      </c>
      <c r="I30" s="20">
        <f t="shared" si="5"/>
        <v>0.67549999999999999</v>
      </c>
      <c r="J30" s="82"/>
      <c r="K30" s="23">
        <f t="shared" si="6"/>
        <v>7838.0279401347807</v>
      </c>
      <c r="L30" s="23">
        <f t="shared" si="9"/>
        <v>5294.587873561044</v>
      </c>
      <c r="M30" s="82"/>
      <c r="N30" s="23">
        <f t="shared" si="7"/>
        <v>4492.0365659948084</v>
      </c>
      <c r="O30" s="23">
        <f t="shared" si="1"/>
        <v>3034.370700329493</v>
      </c>
      <c r="Q30" s="6">
        <f t="shared" si="2"/>
        <v>-5294.587873561044</v>
      </c>
      <c r="R30" s="6">
        <f t="shared" si="3"/>
        <v>-3034.370700329493</v>
      </c>
    </row>
    <row r="31" spans="3:18" x14ac:dyDescent="0.35">
      <c r="J31" s="6"/>
      <c r="K31" s="6"/>
      <c r="L31" s="6"/>
      <c r="M31" s="6"/>
      <c r="N31" s="6"/>
      <c r="O31" s="6"/>
      <c r="Q31" s="6">
        <f t="shared" ref="Q31" si="10">-J31-K31</f>
        <v>0</v>
      </c>
    </row>
    <row r="32" spans="3:18" x14ac:dyDescent="0.35">
      <c r="J32" s="6"/>
      <c r="K32" s="6" t="s">
        <v>114</v>
      </c>
      <c r="L32" s="6">
        <f>SUM(L20:L31)</f>
        <v>-512061.43185134639</v>
      </c>
      <c r="M32" s="6"/>
      <c r="N32" s="6" t="s">
        <v>115</v>
      </c>
      <c r="O32" s="6">
        <f>SUM(O20:O31)</f>
        <v>-500476.04142047389</v>
      </c>
    </row>
    <row r="33" spans="11:15" x14ac:dyDescent="0.35">
      <c r="K33" t="s">
        <v>116</v>
      </c>
      <c r="L33" s="29">
        <f>IRR(Q20:Q30)</f>
        <v>-0.30529795378121816</v>
      </c>
      <c r="N33" t="s">
        <v>117</v>
      </c>
      <c r="O33" s="29" t="e">
        <f>IRR(R20:R30)</f>
        <v>#NUM!</v>
      </c>
    </row>
    <row r="35" spans="11:15" x14ac:dyDescent="0.35">
      <c r="L35" s="29"/>
    </row>
    <row r="37" spans="11:15" x14ac:dyDescent="0.35">
      <c r="M37" s="3"/>
    </row>
  </sheetData>
  <mergeCells count="24">
    <mergeCell ref="A3:B4"/>
    <mergeCell ref="A6:A7"/>
    <mergeCell ref="C7:D7"/>
    <mergeCell ref="E7:F7"/>
    <mergeCell ref="C12:D12"/>
    <mergeCell ref="E12:F12"/>
    <mergeCell ref="C3:D3"/>
    <mergeCell ref="E3:F3"/>
    <mergeCell ref="C6:D6"/>
    <mergeCell ref="E6:F6"/>
    <mergeCell ref="C8:D8"/>
    <mergeCell ref="E8:F8"/>
    <mergeCell ref="J17:L17"/>
    <mergeCell ref="M17:O17"/>
    <mergeCell ref="H17:H19"/>
    <mergeCell ref="I17:I19"/>
    <mergeCell ref="C9:D9"/>
    <mergeCell ref="E9:F9"/>
    <mergeCell ref="C10:D10"/>
    <mergeCell ref="E10:F10"/>
    <mergeCell ref="C11:D11"/>
    <mergeCell ref="E11:F11"/>
    <mergeCell ref="C13:D13"/>
    <mergeCell ref="E13:F13"/>
  </mergeCells>
  <pageMargins left="0.7" right="0.7" top="0.75" bottom="0.75" header="0.3" footer="0.3"/>
  <pageSetup orientation="portrait" horizontalDpi="4294967293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topLeftCell="A13" workbookViewId="0">
      <selection activeCell="H22" sqref="H22"/>
    </sheetView>
  </sheetViews>
  <sheetFormatPr defaultColWidth="8.7265625" defaultRowHeight="15.5" x14ac:dyDescent="0.35"/>
  <cols>
    <col min="1" max="1" width="15.1796875" style="31" customWidth="1"/>
    <col min="2" max="2" width="44.453125" style="24" customWidth="1"/>
    <col min="3" max="3" width="9.1796875" style="24" customWidth="1"/>
    <col min="4" max="4" width="11.453125" style="26" customWidth="1"/>
    <col min="5" max="5" width="11.08984375" style="26" customWidth="1"/>
    <col min="6" max="6" width="14.54296875" style="26" customWidth="1"/>
    <col min="7" max="7" width="11.453125" style="26" bestFit="1" customWidth="1"/>
    <col min="8" max="16384" width="8.7265625" style="24"/>
  </cols>
  <sheetData>
    <row r="2" spans="1:10" s="66" customFormat="1" ht="20" x14ac:dyDescent="0.4">
      <c r="A2" s="465" t="s">
        <v>325</v>
      </c>
      <c r="B2" s="465"/>
      <c r="C2" s="465"/>
      <c r="D2" s="465"/>
      <c r="E2" s="465"/>
      <c r="F2" s="465"/>
      <c r="G2" s="65"/>
    </row>
    <row r="3" spans="1:10" ht="16" thickBot="1" x14ac:dyDescent="0.4"/>
    <row r="4" spans="1:10" ht="31.5" thickBot="1" x14ac:dyDescent="0.4">
      <c r="A4" s="352"/>
      <c r="B4" s="355"/>
      <c r="C4" s="353"/>
      <c r="D4" s="362" t="s">
        <v>321</v>
      </c>
      <c r="E4" s="354" t="s">
        <v>322</v>
      </c>
      <c r="F4" s="354" t="s">
        <v>123</v>
      </c>
      <c r="G4" s="24"/>
    </row>
    <row r="5" spans="1:10" ht="15" customHeight="1" x14ac:dyDescent="0.35">
      <c r="A5" s="466" t="s">
        <v>74</v>
      </c>
      <c r="B5" s="356" t="s">
        <v>70</v>
      </c>
      <c r="C5" s="359" t="s">
        <v>118</v>
      </c>
      <c r="D5" s="363">
        <f>'lot 4'!I56</f>
        <v>46610.076000000001</v>
      </c>
      <c r="E5" s="39">
        <f>'lot 4 foto'!H8</f>
        <v>0</v>
      </c>
      <c r="F5" s="39">
        <f>D5+E5</f>
        <v>46610.076000000001</v>
      </c>
      <c r="G5" s="24"/>
    </row>
    <row r="6" spans="1:10" x14ac:dyDescent="0.35">
      <c r="A6" s="467"/>
      <c r="B6" s="357" t="s">
        <v>71</v>
      </c>
      <c r="C6" s="360" t="s">
        <v>118</v>
      </c>
      <c r="D6" s="364">
        <v>0</v>
      </c>
      <c r="E6" s="40">
        <v>0</v>
      </c>
      <c r="F6" s="60">
        <f>D6+E6</f>
        <v>0</v>
      </c>
      <c r="G6" s="24"/>
    </row>
    <row r="7" spans="1:10" x14ac:dyDescent="0.35">
      <c r="A7" s="467"/>
      <c r="B7" s="357" t="s">
        <v>72</v>
      </c>
      <c r="C7" s="360" t="s">
        <v>118</v>
      </c>
      <c r="D7" s="364">
        <f>'lot 4'!J56</f>
        <v>6925.3885000000018</v>
      </c>
      <c r="E7" s="40">
        <f>'lot 4 foto'!I8</f>
        <v>0</v>
      </c>
      <c r="F7" s="60">
        <f t="shared" ref="F7:F9" si="0">D7+E7</f>
        <v>6925.3885000000018</v>
      </c>
      <c r="G7" s="24"/>
    </row>
    <row r="8" spans="1:10" x14ac:dyDescent="0.35">
      <c r="A8" s="467"/>
      <c r="B8" s="357" t="s">
        <v>73</v>
      </c>
      <c r="C8" s="360" t="s">
        <v>118</v>
      </c>
      <c r="D8" s="364">
        <f>(D5+D7+D6)*0.03</f>
        <v>1606.0639349999999</v>
      </c>
      <c r="E8" s="40">
        <f t="shared" ref="E8" si="1">(E5+E7+E6)*0.03</f>
        <v>0</v>
      </c>
      <c r="F8" s="60">
        <f t="shared" si="0"/>
        <v>1606.0639349999999</v>
      </c>
      <c r="G8" s="24"/>
    </row>
    <row r="9" spans="1:10" x14ac:dyDescent="0.35">
      <c r="A9" s="467"/>
      <c r="B9" s="357" t="s">
        <v>76</v>
      </c>
      <c r="C9" s="360" t="s">
        <v>118</v>
      </c>
      <c r="D9" s="364">
        <f>D5+D6+D7+D8-D10</f>
        <v>55141.528435</v>
      </c>
      <c r="E9" s="40">
        <f t="shared" ref="E9" si="2">E5+E6+E7+E8-E10</f>
        <v>0</v>
      </c>
      <c r="F9" s="60">
        <f t="shared" si="0"/>
        <v>55141.528435</v>
      </c>
      <c r="G9" s="24"/>
    </row>
    <row r="10" spans="1:10" ht="16" thickBot="1" x14ac:dyDescent="0.4">
      <c r="A10" s="468"/>
      <c r="B10" s="358" t="s">
        <v>77</v>
      </c>
      <c r="C10" s="361" t="s">
        <v>118</v>
      </c>
      <c r="D10" s="365">
        <v>0</v>
      </c>
      <c r="E10" s="341">
        <v>0</v>
      </c>
      <c r="F10" s="119">
        <f>D10+E10</f>
        <v>0</v>
      </c>
      <c r="G10" s="24"/>
    </row>
    <row r="11" spans="1:10" ht="15" customHeight="1" x14ac:dyDescent="0.35">
      <c r="A11" s="466" t="s">
        <v>75</v>
      </c>
      <c r="B11" s="356" t="s">
        <v>70</v>
      </c>
      <c r="C11" s="359" t="s">
        <v>118</v>
      </c>
      <c r="D11" s="363">
        <f>'lot 4'!Q56</f>
        <v>103213.03000000003</v>
      </c>
      <c r="E11" s="39">
        <f>'lot 4 foto'!P8</f>
        <v>2846.3500000000004</v>
      </c>
      <c r="F11" s="39">
        <f>D11+E11</f>
        <v>106059.38000000003</v>
      </c>
      <c r="G11" s="24"/>
    </row>
    <row r="12" spans="1:10" x14ac:dyDescent="0.35">
      <c r="A12" s="467"/>
      <c r="B12" s="357" t="s">
        <v>71</v>
      </c>
      <c r="C12" s="360" t="s">
        <v>118</v>
      </c>
      <c r="D12" s="364">
        <v>0</v>
      </c>
      <c r="E12" s="40">
        <v>0</v>
      </c>
      <c r="F12" s="60">
        <f>D12+E12</f>
        <v>0</v>
      </c>
      <c r="G12" s="24"/>
    </row>
    <row r="13" spans="1:10" x14ac:dyDescent="0.35">
      <c r="A13" s="467"/>
      <c r="B13" s="357" t="s">
        <v>72</v>
      </c>
      <c r="C13" s="360" t="s">
        <v>118</v>
      </c>
      <c r="D13" s="364">
        <f>'lot 4'!R56</f>
        <v>15510.418000000001</v>
      </c>
      <c r="E13" s="40">
        <f>'lot 4 foto'!Q8</f>
        <v>455.416</v>
      </c>
      <c r="F13" s="60">
        <f t="shared" ref="F13:F16" si="3">D13+E13</f>
        <v>15965.834000000001</v>
      </c>
      <c r="G13" s="24"/>
    </row>
    <row r="14" spans="1:10" x14ac:dyDescent="0.35">
      <c r="A14" s="467"/>
      <c r="B14" s="357" t="s">
        <v>73</v>
      </c>
      <c r="C14" s="360" t="s">
        <v>118</v>
      </c>
      <c r="D14" s="364">
        <f>(D11+D13+D12)*0.03</f>
        <v>3561.7034400000007</v>
      </c>
      <c r="E14" s="40">
        <f t="shared" ref="E14" si="4">(E11+E13+E12)*0.03</f>
        <v>99.052980000000019</v>
      </c>
      <c r="F14" s="60">
        <f t="shared" si="3"/>
        <v>3660.7564200000006</v>
      </c>
      <c r="G14" s="24"/>
      <c r="J14" s="24">
        <f>8.23*0.96</f>
        <v>7.9008000000000003</v>
      </c>
    </row>
    <row r="15" spans="1:10" x14ac:dyDescent="0.35">
      <c r="A15" s="467"/>
      <c r="B15" s="357" t="s">
        <v>76</v>
      </c>
      <c r="C15" s="360" t="s">
        <v>118</v>
      </c>
      <c r="D15" s="364">
        <f>D11+D12+D13+D14-D16</f>
        <v>122285.15144000003</v>
      </c>
      <c r="E15" s="40">
        <f t="shared" ref="E15" si="5">E11+E12+E13+E14-E16</f>
        <v>3400.8189800000005</v>
      </c>
      <c r="F15" s="60">
        <f t="shared" si="3"/>
        <v>125685.97042000003</v>
      </c>
      <c r="G15" s="24"/>
    </row>
    <row r="16" spans="1:10" ht="16" thickBot="1" x14ac:dyDescent="0.4">
      <c r="A16" s="468"/>
      <c r="B16" s="358" t="s">
        <v>77</v>
      </c>
      <c r="C16" s="361" t="s">
        <v>118</v>
      </c>
      <c r="D16" s="365">
        <v>0</v>
      </c>
      <c r="E16" s="341">
        <v>0</v>
      </c>
      <c r="F16" s="60">
        <f t="shared" si="3"/>
        <v>0</v>
      </c>
      <c r="G16" s="24"/>
    </row>
    <row r="17" spans="1:8" x14ac:dyDescent="0.35">
      <c r="A17" s="466" t="s">
        <v>92</v>
      </c>
      <c r="B17" s="356" t="s">
        <v>70</v>
      </c>
      <c r="C17" s="359" t="s">
        <v>118</v>
      </c>
      <c r="D17" s="363">
        <f>'lot 4'!AJ56</f>
        <v>59666.74</v>
      </c>
      <c r="E17" s="39">
        <f>'lot 4 foto'!AI8</f>
        <v>2561.6499999999996</v>
      </c>
      <c r="F17" s="39">
        <f>D17+E17</f>
        <v>62228.39</v>
      </c>
      <c r="G17" s="24"/>
    </row>
    <row r="18" spans="1:8" x14ac:dyDescent="0.35">
      <c r="A18" s="467"/>
      <c r="B18" s="357" t="s">
        <v>71</v>
      </c>
      <c r="C18" s="360" t="s">
        <v>118</v>
      </c>
      <c r="D18" s="364">
        <f>'lot 4'!AK56</f>
        <v>3994.5599999999986</v>
      </c>
      <c r="E18" s="40">
        <f>'lot 4 foto'!AJ8</f>
        <v>227.76</v>
      </c>
      <c r="F18" s="60">
        <f>D18+E18</f>
        <v>4222.3199999999988</v>
      </c>
      <c r="G18" s="24"/>
    </row>
    <row r="19" spans="1:8" x14ac:dyDescent="0.35">
      <c r="A19" s="467"/>
      <c r="B19" s="357" t="s">
        <v>72</v>
      </c>
      <c r="C19" s="360" t="s">
        <v>118</v>
      </c>
      <c r="D19" s="364">
        <f>'lot 4'!AL56</f>
        <v>10008.204499999998</v>
      </c>
      <c r="E19" s="40">
        <f>'lot 4 foto'!AK8</f>
        <v>455.416</v>
      </c>
      <c r="F19" s="60">
        <f t="shared" ref="F19:F22" si="6">D19+E19</f>
        <v>10463.620499999997</v>
      </c>
      <c r="G19" s="24"/>
    </row>
    <row r="20" spans="1:8" x14ac:dyDescent="0.35">
      <c r="A20" s="467"/>
      <c r="B20" s="357" t="s">
        <v>73</v>
      </c>
      <c r="C20" s="360" t="s">
        <v>118</v>
      </c>
      <c r="D20" s="364">
        <f>(D17+D19+D18)*0.03</f>
        <v>2210.0851349999998</v>
      </c>
      <c r="E20" s="40">
        <v>0</v>
      </c>
      <c r="F20" s="60">
        <f t="shared" si="6"/>
        <v>2210.0851349999998</v>
      </c>
      <c r="G20" s="24"/>
    </row>
    <row r="21" spans="1:8" x14ac:dyDescent="0.35">
      <c r="A21" s="467"/>
      <c r="B21" s="357" t="s">
        <v>76</v>
      </c>
      <c r="C21" s="360" t="s">
        <v>118</v>
      </c>
      <c r="D21" s="364">
        <f>D17+D18+D19+D20-D22</f>
        <v>75879.589634999997</v>
      </c>
      <c r="E21" s="40">
        <f>E22</f>
        <v>3244.826</v>
      </c>
      <c r="F21" s="60">
        <f t="shared" si="6"/>
        <v>79124.415634999998</v>
      </c>
      <c r="G21" s="24"/>
      <c r="H21" s="24">
        <f>D21*0.5*1.19*10</f>
        <v>451483.55832824996</v>
      </c>
    </row>
    <row r="22" spans="1:8" ht="16" thickBot="1" x14ac:dyDescent="0.4">
      <c r="A22" s="468"/>
      <c r="B22" s="358" t="s">
        <v>77</v>
      </c>
      <c r="C22" s="361" t="s">
        <v>118</v>
      </c>
      <c r="D22" s="365">
        <v>0</v>
      </c>
      <c r="E22" s="341">
        <f>'lot 4 foto'!AI8+'lot 4 foto'!AJ8+'lot 4 foto'!AK8</f>
        <v>3244.826</v>
      </c>
      <c r="F22" s="60">
        <f t="shared" si="6"/>
        <v>3244.826</v>
      </c>
      <c r="G22" s="24"/>
    </row>
    <row r="23" spans="1:8" x14ac:dyDescent="0.35">
      <c r="A23" s="466" t="s">
        <v>91</v>
      </c>
      <c r="B23" s="356" t="s">
        <v>70</v>
      </c>
      <c r="C23" s="359" t="s">
        <v>118</v>
      </c>
      <c r="D23" s="363">
        <f>'lot 4'!Z56</f>
        <v>33656.14</v>
      </c>
      <c r="E23" s="39">
        <f>'lot 4 foto'!Y8</f>
        <v>1773.45</v>
      </c>
      <c r="F23" s="39">
        <f>D23+E23</f>
        <v>35429.589999999997</v>
      </c>
      <c r="G23" s="24"/>
    </row>
    <row r="24" spans="1:8" x14ac:dyDescent="0.35">
      <c r="A24" s="467"/>
      <c r="B24" s="357" t="s">
        <v>71</v>
      </c>
      <c r="C24" s="360" t="s">
        <v>118</v>
      </c>
      <c r="D24" s="364">
        <f>'lot 4'!AA56</f>
        <v>3994.5599999999986</v>
      </c>
      <c r="E24" s="40">
        <f>'lot 4 foto'!Z8</f>
        <v>227.76</v>
      </c>
      <c r="F24" s="60">
        <f>D24+E24</f>
        <v>4222.3199999999988</v>
      </c>
      <c r="G24" s="24"/>
    </row>
    <row r="25" spans="1:8" x14ac:dyDescent="0.35">
      <c r="A25" s="467"/>
      <c r="B25" s="357" t="s">
        <v>72</v>
      </c>
      <c r="C25" s="360" t="s">
        <v>118</v>
      </c>
      <c r="D25" s="364">
        <f>'lot 4'!AB56</f>
        <v>0</v>
      </c>
      <c r="E25" s="40">
        <f>'lot 4 foto'!AA8</f>
        <v>0</v>
      </c>
      <c r="F25" s="60">
        <f t="shared" ref="F25:F28" si="7">D25+E25</f>
        <v>0</v>
      </c>
      <c r="G25" s="24"/>
    </row>
    <row r="26" spans="1:8" x14ac:dyDescent="0.35">
      <c r="A26" s="467"/>
      <c r="B26" s="357" t="s">
        <v>73</v>
      </c>
      <c r="C26" s="360" t="s">
        <v>118</v>
      </c>
      <c r="D26" s="364">
        <f>(D23+D25+D24)*0.03</f>
        <v>1129.521</v>
      </c>
      <c r="E26" s="40">
        <v>0</v>
      </c>
      <c r="F26" s="60">
        <f t="shared" si="7"/>
        <v>1129.521</v>
      </c>
      <c r="G26" s="24"/>
    </row>
    <row r="27" spans="1:8" x14ac:dyDescent="0.35">
      <c r="A27" s="467"/>
      <c r="B27" s="357" t="s">
        <v>76</v>
      </c>
      <c r="C27" s="360" t="s">
        <v>118</v>
      </c>
      <c r="D27" s="364">
        <f>D23+D24+D25+D26-D28</f>
        <v>38780.220999999998</v>
      </c>
      <c r="E27" s="40">
        <f>E28</f>
        <v>2001.21</v>
      </c>
      <c r="F27" s="60">
        <f t="shared" si="7"/>
        <v>40781.430999999997</v>
      </c>
      <c r="G27" s="24"/>
      <c r="H27" s="24">
        <f>E33*0.5*1.19</f>
        <v>23074.231494999996</v>
      </c>
    </row>
    <row r="28" spans="1:8" ht="16" thickBot="1" x14ac:dyDescent="0.4">
      <c r="A28" s="468"/>
      <c r="B28" s="358" t="s">
        <v>77</v>
      </c>
      <c r="C28" s="361" t="s">
        <v>118</v>
      </c>
      <c r="D28" s="365">
        <v>0</v>
      </c>
      <c r="E28" s="341">
        <f>'lot 4 foto'!Y8+'lot 4 foto'!Z8</f>
        <v>2001.21</v>
      </c>
      <c r="F28" s="341">
        <f t="shared" si="7"/>
        <v>2001.21</v>
      </c>
      <c r="G28" s="24"/>
    </row>
    <row r="31" spans="1:8" ht="16" thickBot="1" x14ac:dyDescent="0.4"/>
    <row r="32" spans="1:8" x14ac:dyDescent="0.35">
      <c r="A32" s="459" t="s">
        <v>82</v>
      </c>
      <c r="B32" s="460"/>
      <c r="C32" s="460"/>
      <c r="D32" s="461"/>
      <c r="E32" s="39">
        <f>F11+F12+F13+F14</f>
        <v>125685.97042000004</v>
      </c>
      <c r="F32" s="36" t="s">
        <v>83</v>
      </c>
    </row>
    <row r="33" spans="1:9" x14ac:dyDescent="0.35">
      <c r="A33" s="462" t="s">
        <v>84</v>
      </c>
      <c r="B33" s="463"/>
      <c r="C33" s="463"/>
      <c r="D33" s="464"/>
      <c r="E33" s="40">
        <f>F27-F28</f>
        <v>38780.220999999998</v>
      </c>
      <c r="F33" s="37" t="s">
        <v>83</v>
      </c>
    </row>
    <row r="34" spans="1:9" ht="16" thickBot="1" x14ac:dyDescent="0.4">
      <c r="A34" s="453" t="s">
        <v>89</v>
      </c>
      <c r="B34" s="454"/>
      <c r="C34" s="454"/>
      <c r="D34" s="455"/>
      <c r="E34" s="41">
        <f>E32-E33</f>
        <v>86905.749420000036</v>
      </c>
      <c r="F34" s="38" t="s">
        <v>83</v>
      </c>
      <c r="I34" s="24">
        <f>E34*0.5*1.19</f>
        <v>51708.92090490002</v>
      </c>
    </row>
    <row r="35" spans="1:9" ht="16" thickBot="1" x14ac:dyDescent="0.4">
      <c r="F35" s="27"/>
    </row>
    <row r="36" spans="1:9" x14ac:dyDescent="0.35">
      <c r="A36" s="459" t="s">
        <v>88</v>
      </c>
      <c r="B36" s="460"/>
      <c r="C36" s="460"/>
      <c r="D36" s="461"/>
      <c r="E36" s="30">
        <f>E32*287.11/1000000</f>
        <v>36.085698967286213</v>
      </c>
      <c r="F36" s="32" t="s">
        <v>86</v>
      </c>
    </row>
    <row r="37" spans="1:9" x14ac:dyDescent="0.35">
      <c r="A37" s="462" t="s">
        <v>87</v>
      </c>
      <c r="B37" s="463"/>
      <c r="C37" s="463"/>
      <c r="D37" s="464"/>
      <c r="E37" s="25">
        <f>E33*287.11/1000000</f>
        <v>11.13418925131</v>
      </c>
      <c r="F37" s="33" t="s">
        <v>86</v>
      </c>
    </row>
    <row r="38" spans="1:9" ht="16" thickBot="1" x14ac:dyDescent="0.4">
      <c r="A38" s="453" t="s">
        <v>90</v>
      </c>
      <c r="B38" s="454"/>
      <c r="C38" s="454"/>
      <c r="D38" s="455"/>
      <c r="E38" s="34">
        <f>E36-E37</f>
        <v>24.951509715976215</v>
      </c>
      <c r="F38" s="35" t="s">
        <v>86</v>
      </c>
    </row>
    <row r="39" spans="1:9" ht="16" thickBot="1" x14ac:dyDescent="0.4"/>
    <row r="40" spans="1:9" ht="16" thickBot="1" x14ac:dyDescent="0.4">
      <c r="A40" s="456" t="s">
        <v>85</v>
      </c>
      <c r="B40" s="457"/>
      <c r="C40" s="457"/>
      <c r="D40" s="458"/>
      <c r="E40" s="42">
        <f>1-E37/E36</f>
        <v>0.69145147329960843</v>
      </c>
      <c r="G40" s="28"/>
    </row>
  </sheetData>
  <mergeCells count="12">
    <mergeCell ref="A2:F2"/>
    <mergeCell ref="A17:A22"/>
    <mergeCell ref="A5:A10"/>
    <mergeCell ref="A11:A16"/>
    <mergeCell ref="A23:A28"/>
    <mergeCell ref="A38:D38"/>
    <mergeCell ref="A40:D40"/>
    <mergeCell ref="A32:D32"/>
    <mergeCell ref="A33:D33"/>
    <mergeCell ref="A34:D34"/>
    <mergeCell ref="A36:D36"/>
    <mergeCell ref="A37:D37"/>
  </mergeCells>
  <pageMargins left="0.25" right="0.25" top="0.75" bottom="0.75" header="0.3" footer="0.3"/>
  <pageSetup paperSize="9" orientation="landscape" horizontalDpi="4294967293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9"/>
  <sheetViews>
    <sheetView zoomScale="75" zoomScaleNormal="75" workbookViewId="0">
      <pane xSplit="2" ySplit="5" topLeftCell="D41" activePane="bottomRight" state="frozenSplit"/>
      <selection pane="topRight" activeCell="M1" sqref="M1"/>
      <selection pane="bottomLeft" activeCell="A3" sqref="A3"/>
      <selection pane="bottomRight" activeCell="T1" sqref="T1:AM1048576"/>
    </sheetView>
  </sheetViews>
  <sheetFormatPr defaultColWidth="9.1796875" defaultRowHeight="14.5" x14ac:dyDescent="0.35"/>
  <cols>
    <col min="1" max="1" width="7.26953125" style="87" bestFit="1" customWidth="1"/>
    <col min="2" max="2" width="39.1796875" style="88" customWidth="1"/>
    <col min="3" max="3" width="11.81640625" style="90" hidden="1" customWidth="1"/>
    <col min="4" max="4" width="7.81640625" style="92" customWidth="1"/>
    <col min="5" max="5" width="14.453125" style="92" customWidth="1"/>
    <col min="6" max="6" width="5.81640625" style="92" customWidth="1"/>
    <col min="7" max="7" width="7.7265625" style="92" customWidth="1"/>
    <col min="8" max="8" width="9.26953125" style="92" customWidth="1"/>
    <col min="9" max="9" width="13.453125" style="92" customWidth="1"/>
    <col min="10" max="10" width="18.453125" style="92" customWidth="1"/>
    <col min="11" max="11" width="18.81640625" style="92" customWidth="1"/>
    <col min="12" max="13" width="8.1796875" style="92" customWidth="1"/>
    <col min="14" max="14" width="6.54296875" style="92" customWidth="1"/>
    <col min="15" max="15" width="7.453125" style="92" customWidth="1"/>
    <col min="16" max="16" width="8.26953125" style="92" customWidth="1"/>
    <col min="17" max="17" width="14.26953125" style="92" customWidth="1"/>
    <col min="18" max="19" width="18.81640625" style="92" customWidth="1"/>
    <col min="20" max="20" width="8.1796875" style="92" hidden="1" customWidth="1"/>
    <col min="21" max="21" width="8.7265625" style="92" hidden="1" customWidth="1"/>
    <col min="22" max="22" width="6.54296875" style="92" hidden="1" customWidth="1"/>
    <col min="23" max="23" width="9" style="92" hidden="1" customWidth="1"/>
    <col min="24" max="24" width="10.1796875" style="92" hidden="1" customWidth="1"/>
    <col min="25" max="25" width="12.81640625" style="92" hidden="1" customWidth="1"/>
    <col min="26" max="26" width="17" style="92" hidden="1" customWidth="1"/>
    <col min="27" max="27" width="13.453125" style="92" hidden="1" customWidth="1"/>
    <col min="28" max="28" width="18.1796875" style="92" hidden="1" customWidth="1"/>
    <col min="29" max="29" width="18.81640625" style="92" hidden="1" customWidth="1"/>
    <col min="30" max="30" width="7.54296875" style="92" hidden="1" customWidth="1"/>
    <col min="31" max="31" width="7.81640625" style="92" hidden="1" customWidth="1"/>
    <col min="32" max="32" width="5.81640625" style="92" hidden="1" customWidth="1"/>
    <col min="33" max="33" width="7.453125" style="92" hidden="1" customWidth="1"/>
    <col min="34" max="34" width="8.54296875" style="92" hidden="1" customWidth="1"/>
    <col min="35" max="35" width="13.7265625" style="92" hidden="1" customWidth="1"/>
    <col min="36" max="36" width="17.453125" style="92" hidden="1" customWidth="1"/>
    <col min="37" max="37" width="13.1796875" style="92" hidden="1" customWidth="1"/>
    <col min="38" max="38" width="18.26953125" style="92" hidden="1" customWidth="1"/>
    <col min="39" max="39" width="18.81640625" style="92" hidden="1" customWidth="1"/>
    <col min="40" max="16384" width="9.1796875" style="93"/>
  </cols>
  <sheetData>
    <row r="1" spans="1:39" ht="15" thickBot="1" x14ac:dyDescent="0.4"/>
    <row r="2" spans="1:39" ht="21.5" thickBot="1" x14ac:dyDescent="0.55000000000000004">
      <c r="D2" s="469" t="s">
        <v>319</v>
      </c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  <c r="P2" s="470"/>
      <c r="Q2" s="470"/>
      <c r="R2" s="470"/>
      <c r="S2" s="471"/>
      <c r="T2" s="469" t="s">
        <v>320</v>
      </c>
      <c r="U2" s="470"/>
      <c r="V2" s="470"/>
      <c r="W2" s="470"/>
      <c r="X2" s="470"/>
      <c r="Y2" s="470"/>
      <c r="Z2" s="470"/>
      <c r="AA2" s="470"/>
      <c r="AB2" s="470"/>
      <c r="AC2" s="470"/>
      <c r="AD2" s="470"/>
      <c r="AE2" s="470"/>
      <c r="AF2" s="470"/>
      <c r="AG2" s="470"/>
      <c r="AH2" s="470"/>
      <c r="AI2" s="470"/>
      <c r="AJ2" s="470"/>
      <c r="AK2" s="470"/>
      <c r="AL2" s="470"/>
      <c r="AM2" s="471"/>
    </row>
    <row r="3" spans="1:39" ht="21.5" thickBot="1" x14ac:dyDescent="0.55000000000000004"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</row>
    <row r="4" spans="1:39" s="306" customFormat="1" ht="16" thickBot="1" x14ac:dyDescent="0.4">
      <c r="A4" s="304"/>
      <c r="B4" s="305"/>
      <c r="D4" s="475" t="s">
        <v>7</v>
      </c>
      <c r="E4" s="476"/>
      <c r="F4" s="476"/>
      <c r="G4" s="476"/>
      <c r="H4" s="476"/>
      <c r="I4" s="476"/>
      <c r="J4" s="476"/>
      <c r="K4" s="477"/>
      <c r="L4" s="475" t="s">
        <v>19</v>
      </c>
      <c r="M4" s="476"/>
      <c r="N4" s="476"/>
      <c r="O4" s="476"/>
      <c r="P4" s="476"/>
      <c r="Q4" s="476"/>
      <c r="R4" s="476"/>
      <c r="S4" s="477"/>
      <c r="T4" s="475" t="s">
        <v>93</v>
      </c>
      <c r="U4" s="476"/>
      <c r="V4" s="476"/>
      <c r="W4" s="476"/>
      <c r="X4" s="476"/>
      <c r="Y4" s="476"/>
      <c r="Z4" s="476"/>
      <c r="AA4" s="476"/>
      <c r="AB4" s="478"/>
      <c r="AC4" s="477"/>
      <c r="AD4" s="479" t="s">
        <v>94</v>
      </c>
      <c r="AE4" s="480"/>
      <c r="AF4" s="480"/>
      <c r="AG4" s="480"/>
      <c r="AH4" s="480"/>
      <c r="AI4" s="480"/>
      <c r="AJ4" s="480"/>
      <c r="AK4" s="480"/>
      <c r="AL4" s="480"/>
      <c r="AM4" s="481"/>
    </row>
    <row r="5" spans="1:39" s="95" customFormat="1" ht="73" thickBot="1" x14ac:dyDescent="0.4">
      <c r="A5" s="342" t="s">
        <v>6</v>
      </c>
      <c r="B5" s="342" t="s">
        <v>0</v>
      </c>
      <c r="C5" s="343" t="s">
        <v>120</v>
      </c>
      <c r="D5" s="54" t="s">
        <v>10</v>
      </c>
      <c r="E5" s="55" t="s">
        <v>8</v>
      </c>
      <c r="F5" s="55" t="s">
        <v>18</v>
      </c>
      <c r="G5" s="55" t="s">
        <v>12</v>
      </c>
      <c r="H5" s="55" t="s">
        <v>11</v>
      </c>
      <c r="I5" s="55" t="s">
        <v>78</v>
      </c>
      <c r="J5" s="55" t="s">
        <v>79</v>
      </c>
      <c r="K5" s="56" t="s">
        <v>14</v>
      </c>
      <c r="L5" s="54" t="s">
        <v>10</v>
      </c>
      <c r="M5" s="55" t="s">
        <v>8</v>
      </c>
      <c r="N5" s="55" t="s">
        <v>18</v>
      </c>
      <c r="O5" s="55" t="s">
        <v>13</v>
      </c>
      <c r="P5" s="55" t="s">
        <v>11</v>
      </c>
      <c r="Q5" s="55" t="s">
        <v>78</v>
      </c>
      <c r="R5" s="55" t="s">
        <v>79</v>
      </c>
      <c r="S5" s="56" t="s">
        <v>14</v>
      </c>
      <c r="T5" s="54" t="s">
        <v>10</v>
      </c>
      <c r="U5" s="55" t="s">
        <v>8</v>
      </c>
      <c r="V5" s="55" t="s">
        <v>18</v>
      </c>
      <c r="W5" s="55" t="s">
        <v>12</v>
      </c>
      <c r="X5" s="55" t="s">
        <v>11</v>
      </c>
      <c r="Y5" s="55" t="s">
        <v>9</v>
      </c>
      <c r="Z5" s="55" t="s">
        <v>81</v>
      </c>
      <c r="AA5" s="55" t="s">
        <v>80</v>
      </c>
      <c r="AB5" s="94" t="s">
        <v>79</v>
      </c>
      <c r="AC5" s="56" t="s">
        <v>16</v>
      </c>
      <c r="AD5" s="54" t="s">
        <v>10</v>
      </c>
      <c r="AE5" s="55" t="s">
        <v>8</v>
      </c>
      <c r="AF5" s="55" t="s">
        <v>18</v>
      </c>
      <c r="AG5" s="55" t="s">
        <v>12</v>
      </c>
      <c r="AH5" s="55" t="s">
        <v>11</v>
      </c>
      <c r="AI5" s="55" t="s">
        <v>9</v>
      </c>
      <c r="AJ5" s="55" t="s">
        <v>81</v>
      </c>
      <c r="AK5" s="55" t="s">
        <v>80</v>
      </c>
      <c r="AL5" s="55" t="s">
        <v>79</v>
      </c>
      <c r="AM5" s="56" t="s">
        <v>16</v>
      </c>
    </row>
    <row r="6" spans="1:39" s="302" customFormat="1" ht="16" thickBot="1" x14ac:dyDescent="0.4">
      <c r="A6" s="351"/>
      <c r="B6" s="351"/>
      <c r="C6" s="351"/>
      <c r="D6" s="482" t="s">
        <v>304</v>
      </c>
      <c r="E6" s="485"/>
      <c r="F6" s="485"/>
      <c r="G6" s="485"/>
      <c r="H6" s="485"/>
      <c r="I6" s="485"/>
      <c r="J6" s="485"/>
      <c r="K6" s="486"/>
      <c r="L6" s="482" t="s">
        <v>304</v>
      </c>
      <c r="M6" s="485"/>
      <c r="N6" s="485"/>
      <c r="O6" s="485"/>
      <c r="P6" s="485"/>
      <c r="Q6" s="485"/>
      <c r="R6" s="485"/>
      <c r="S6" s="486"/>
      <c r="T6" s="482" t="s">
        <v>304</v>
      </c>
      <c r="U6" s="483"/>
      <c r="V6" s="483"/>
      <c r="W6" s="483"/>
      <c r="X6" s="483"/>
      <c r="Y6" s="483"/>
      <c r="Z6" s="483"/>
      <c r="AA6" s="483"/>
      <c r="AB6" s="483"/>
      <c r="AC6" s="484"/>
      <c r="AD6" s="482" t="s">
        <v>304</v>
      </c>
      <c r="AE6" s="485"/>
      <c r="AF6" s="485"/>
      <c r="AG6" s="485"/>
      <c r="AH6" s="485"/>
      <c r="AI6" s="485"/>
      <c r="AJ6" s="485"/>
      <c r="AK6" s="485"/>
      <c r="AL6" s="485"/>
      <c r="AM6" s="486"/>
    </row>
    <row r="7" spans="1:39" s="100" customFormat="1" ht="14.5" customHeight="1" x14ac:dyDescent="0.35">
      <c r="A7" s="344">
        <v>1</v>
      </c>
      <c r="B7" s="344" t="s">
        <v>285</v>
      </c>
      <c r="C7" s="112"/>
      <c r="D7" s="349">
        <v>4</v>
      </c>
      <c r="E7" s="112" t="s">
        <v>17</v>
      </c>
      <c r="F7" s="61">
        <v>4</v>
      </c>
      <c r="G7" s="61">
        <v>70</v>
      </c>
      <c r="H7" s="61">
        <v>10.5</v>
      </c>
      <c r="I7" s="61">
        <f>F7*G7*4379/1000</f>
        <v>1226.1199999999999</v>
      </c>
      <c r="J7" s="345">
        <f>F7*H7*4379/1000</f>
        <v>183.91800000000001</v>
      </c>
      <c r="K7" s="346">
        <f>I7+J7</f>
        <v>1410.038</v>
      </c>
      <c r="L7" s="349">
        <v>10</v>
      </c>
      <c r="M7" s="112" t="s">
        <v>17</v>
      </c>
      <c r="N7" s="61">
        <v>10</v>
      </c>
      <c r="O7" s="61">
        <f t="shared" ref="O7" si="0">G7</f>
        <v>70</v>
      </c>
      <c r="P7" s="61">
        <f t="shared" ref="P7" si="1">H7</f>
        <v>10.5</v>
      </c>
      <c r="Q7" s="61">
        <f>N7*O7*4379/1000</f>
        <v>3065.3</v>
      </c>
      <c r="R7" s="345">
        <f>N7*P7*4379/1000</f>
        <v>459.79500000000002</v>
      </c>
      <c r="S7" s="346">
        <f>Q7+R7</f>
        <v>3525.0950000000003</v>
      </c>
      <c r="T7" s="349">
        <v>10</v>
      </c>
      <c r="U7" s="347" t="s">
        <v>15</v>
      </c>
      <c r="V7" s="61">
        <v>10</v>
      </c>
      <c r="W7" s="61">
        <v>30</v>
      </c>
      <c r="X7" s="61">
        <v>0</v>
      </c>
      <c r="Y7" s="61">
        <v>2</v>
      </c>
      <c r="Z7" s="345">
        <f>(V7*W7*2919+V7*W7*0.7*1460)/1000</f>
        <v>1182.3</v>
      </c>
      <c r="AA7" s="345">
        <f>V7*Y7*8760/1000</f>
        <v>175.2</v>
      </c>
      <c r="AB7" s="345">
        <f>X7*V7*4379/1000</f>
        <v>0</v>
      </c>
      <c r="AC7" s="346">
        <f>Z7+AA7+AB7</f>
        <v>1357.5</v>
      </c>
      <c r="AD7" s="350">
        <v>10</v>
      </c>
      <c r="AE7" s="112" t="s">
        <v>17</v>
      </c>
      <c r="AF7" s="112">
        <v>10</v>
      </c>
      <c r="AG7" s="112">
        <v>50</v>
      </c>
      <c r="AH7" s="112">
        <v>8</v>
      </c>
      <c r="AI7" s="112">
        <v>2</v>
      </c>
      <c r="AJ7" s="61">
        <f>(AF7*AG7*2919+AF7*AG7*0.7*1460)/1000</f>
        <v>1970.5</v>
      </c>
      <c r="AK7" s="345">
        <f>AF7*AI7*8760/1000</f>
        <v>175.2</v>
      </c>
      <c r="AL7" s="345">
        <f>AH7*AF7*4379/1000</f>
        <v>350.32</v>
      </c>
      <c r="AM7" s="346">
        <f>AJ7+AK7+AL7</f>
        <v>2496.02</v>
      </c>
    </row>
    <row r="8" spans="1:39" s="101" customFormat="1" ht="16" thickBot="1" x14ac:dyDescent="0.4">
      <c r="A8" s="308">
        <v>2</v>
      </c>
      <c r="B8" s="115" t="s">
        <v>286</v>
      </c>
      <c r="C8" s="113"/>
      <c r="D8" s="96">
        <v>2</v>
      </c>
      <c r="E8" s="67" t="s">
        <v>17</v>
      </c>
      <c r="F8" s="62">
        <v>2</v>
      </c>
      <c r="G8" s="62">
        <v>70</v>
      </c>
      <c r="H8" s="62">
        <v>10.5</v>
      </c>
      <c r="I8" s="62">
        <f t="shared" ref="I8:I53" si="2">F8*G8*4379/1000</f>
        <v>613.05999999999995</v>
      </c>
      <c r="J8" s="98">
        <f t="shared" ref="J8:J53" si="3">F8*H8*4379/1000</f>
        <v>91.959000000000003</v>
      </c>
      <c r="K8" s="99">
        <f t="shared" ref="K8:K53" si="4">I8+J8</f>
        <v>705.01900000000001</v>
      </c>
      <c r="L8" s="96">
        <v>6</v>
      </c>
      <c r="M8" s="67" t="s">
        <v>17</v>
      </c>
      <c r="N8" s="62">
        <v>6</v>
      </c>
      <c r="O8" s="62">
        <f t="shared" ref="O8:O14" si="5">G8</f>
        <v>70</v>
      </c>
      <c r="P8" s="62">
        <f t="shared" ref="P8:P14" si="6">H8</f>
        <v>10.5</v>
      </c>
      <c r="Q8" s="62">
        <f t="shared" ref="Q8:Q14" si="7">N8*O8*4379/1000</f>
        <v>1839.18</v>
      </c>
      <c r="R8" s="98">
        <f t="shared" ref="R8:R14" si="8">N8*P8*4379/1000</f>
        <v>275.87700000000001</v>
      </c>
      <c r="S8" s="99">
        <f t="shared" ref="S8:S14" si="9">Q8+R8</f>
        <v>2115.0570000000002</v>
      </c>
      <c r="T8" s="96">
        <v>6</v>
      </c>
      <c r="U8" s="97" t="s">
        <v>15</v>
      </c>
      <c r="V8" s="62">
        <v>6</v>
      </c>
      <c r="W8" s="62">
        <v>30</v>
      </c>
      <c r="X8" s="62">
        <v>0</v>
      </c>
      <c r="Y8" s="62">
        <v>2</v>
      </c>
      <c r="Z8" s="98">
        <f t="shared" ref="Z8:Z14" si="10">(V8*W8*2919+V8*W8*0.7*1460)/1000</f>
        <v>709.38</v>
      </c>
      <c r="AA8" s="98">
        <f t="shared" ref="AA8:AA14" si="11">V8*Y8*8760/1000</f>
        <v>105.12</v>
      </c>
      <c r="AB8" s="98">
        <f t="shared" ref="AB8:AB14" si="12">X8*V8*4379/1000</f>
        <v>0</v>
      </c>
      <c r="AC8" s="99">
        <f t="shared" ref="AC8:AC14" si="13">Z8+AA8+AB8</f>
        <v>814.5</v>
      </c>
      <c r="AD8" s="69">
        <v>6</v>
      </c>
      <c r="AE8" s="67" t="s">
        <v>17</v>
      </c>
      <c r="AF8" s="67">
        <v>6</v>
      </c>
      <c r="AG8" s="67">
        <v>50</v>
      </c>
      <c r="AH8" s="67">
        <v>8</v>
      </c>
      <c r="AI8" s="67">
        <v>2</v>
      </c>
      <c r="AJ8" s="62">
        <f t="shared" ref="AJ8:AJ52" si="14">(AF8*AG8*2919+AF8*AG8*0.7*1460)/1000</f>
        <v>1182.3</v>
      </c>
      <c r="AK8" s="98">
        <f t="shared" ref="AK8:AK52" si="15">AF8*AI8*8760/1000</f>
        <v>105.12</v>
      </c>
      <c r="AL8" s="98">
        <f t="shared" ref="AL8:AL52" si="16">AH8*AF8*4379/1000</f>
        <v>210.19200000000001</v>
      </c>
      <c r="AM8" s="99">
        <f t="shared" ref="AM8:AM52" si="17">AJ8+AK8+AL8</f>
        <v>1497.6120000000001</v>
      </c>
    </row>
    <row r="9" spans="1:39" s="102" customFormat="1" ht="15" customHeight="1" thickBot="1" x14ac:dyDescent="0.4">
      <c r="A9" s="307">
        <f t="shared" ref="A9:A52" si="18">A8+1</f>
        <v>3</v>
      </c>
      <c r="B9" s="307" t="s">
        <v>287</v>
      </c>
      <c r="C9" s="110"/>
      <c r="D9" s="294">
        <v>10</v>
      </c>
      <c r="E9" s="67" t="s">
        <v>290</v>
      </c>
      <c r="F9" s="62">
        <v>2</v>
      </c>
      <c r="G9" s="62">
        <v>72</v>
      </c>
      <c r="H9" s="62">
        <v>11.5</v>
      </c>
      <c r="I9" s="62">
        <f t="shared" si="2"/>
        <v>630.57600000000002</v>
      </c>
      <c r="J9" s="98">
        <f t="shared" si="3"/>
        <v>100.717</v>
      </c>
      <c r="K9" s="99">
        <f t="shared" si="4"/>
        <v>731.29300000000001</v>
      </c>
      <c r="L9" s="294">
        <f t="shared" ref="L9:L10" si="19">D9</f>
        <v>10</v>
      </c>
      <c r="M9" s="67" t="s">
        <v>290</v>
      </c>
      <c r="N9" s="62">
        <v>10</v>
      </c>
      <c r="O9" s="62">
        <f t="shared" si="5"/>
        <v>72</v>
      </c>
      <c r="P9" s="62">
        <f t="shared" si="6"/>
        <v>11.5</v>
      </c>
      <c r="Q9" s="62">
        <f t="shared" si="7"/>
        <v>3152.88</v>
      </c>
      <c r="R9" s="98">
        <f t="shared" si="8"/>
        <v>503.58499999999998</v>
      </c>
      <c r="S9" s="99">
        <f t="shared" si="9"/>
        <v>3656.4650000000001</v>
      </c>
      <c r="T9" s="96">
        <f t="shared" ref="T9:T52" si="20">D9</f>
        <v>10</v>
      </c>
      <c r="U9" s="97" t="s">
        <v>15</v>
      </c>
      <c r="V9" s="62">
        <v>10</v>
      </c>
      <c r="W9" s="62">
        <v>40</v>
      </c>
      <c r="X9" s="62">
        <v>0</v>
      </c>
      <c r="Y9" s="62">
        <v>2</v>
      </c>
      <c r="Z9" s="98">
        <f t="shared" si="10"/>
        <v>1576.4</v>
      </c>
      <c r="AA9" s="98">
        <f t="shared" si="11"/>
        <v>175.2</v>
      </c>
      <c r="AB9" s="98">
        <f t="shared" si="12"/>
        <v>0</v>
      </c>
      <c r="AC9" s="99">
        <f t="shared" si="13"/>
        <v>1751.6000000000001</v>
      </c>
      <c r="AD9" s="296">
        <f t="shared" ref="AD9:AD52" si="21">D9</f>
        <v>10</v>
      </c>
      <c r="AE9" s="67" t="s">
        <v>17</v>
      </c>
      <c r="AF9" s="67">
        <v>10</v>
      </c>
      <c r="AG9" s="67">
        <v>70</v>
      </c>
      <c r="AH9" s="67">
        <v>10.5</v>
      </c>
      <c r="AI9" s="67">
        <v>2</v>
      </c>
      <c r="AJ9" s="62">
        <f t="shared" si="14"/>
        <v>2758.7</v>
      </c>
      <c r="AK9" s="98">
        <f t="shared" si="15"/>
        <v>175.2</v>
      </c>
      <c r="AL9" s="98">
        <f t="shared" si="16"/>
        <v>459.79500000000002</v>
      </c>
      <c r="AM9" s="99">
        <f t="shared" si="17"/>
        <v>3393.6949999999997</v>
      </c>
    </row>
    <row r="10" spans="1:39" s="101" customFormat="1" ht="14.5" customHeight="1" x14ac:dyDescent="0.35">
      <c r="A10" s="489">
        <f>A9+1</f>
        <v>4</v>
      </c>
      <c r="B10" s="489" t="s">
        <v>288</v>
      </c>
      <c r="C10" s="487"/>
      <c r="D10" s="294">
        <v>10</v>
      </c>
      <c r="E10" s="67" t="s">
        <v>291</v>
      </c>
      <c r="F10" s="62">
        <v>6</v>
      </c>
      <c r="G10" s="62">
        <v>125</v>
      </c>
      <c r="H10" s="62">
        <v>18</v>
      </c>
      <c r="I10" s="62">
        <f t="shared" si="2"/>
        <v>3284.25</v>
      </c>
      <c r="J10" s="98">
        <f t="shared" si="3"/>
        <v>472.93200000000002</v>
      </c>
      <c r="K10" s="99">
        <f t="shared" si="4"/>
        <v>3757.1819999999998</v>
      </c>
      <c r="L10" s="294">
        <f t="shared" si="19"/>
        <v>10</v>
      </c>
      <c r="M10" s="67" t="s">
        <v>291</v>
      </c>
      <c r="N10" s="62">
        <v>9</v>
      </c>
      <c r="O10" s="62">
        <f t="shared" si="5"/>
        <v>125</v>
      </c>
      <c r="P10" s="62">
        <f t="shared" si="6"/>
        <v>18</v>
      </c>
      <c r="Q10" s="62">
        <f t="shared" si="7"/>
        <v>4926.375</v>
      </c>
      <c r="R10" s="98">
        <f t="shared" si="8"/>
        <v>709.39800000000002</v>
      </c>
      <c r="S10" s="99">
        <f t="shared" si="9"/>
        <v>5635.7730000000001</v>
      </c>
      <c r="T10" s="294">
        <v>9</v>
      </c>
      <c r="U10" s="97" t="s">
        <v>15</v>
      </c>
      <c r="V10" s="62">
        <v>9</v>
      </c>
      <c r="W10" s="62">
        <v>50</v>
      </c>
      <c r="X10" s="62">
        <v>0</v>
      </c>
      <c r="Y10" s="62">
        <v>2</v>
      </c>
      <c r="Z10" s="98">
        <f t="shared" si="10"/>
        <v>1773.45</v>
      </c>
      <c r="AA10" s="98">
        <f t="shared" si="11"/>
        <v>157.68</v>
      </c>
      <c r="AB10" s="98">
        <f t="shared" si="12"/>
        <v>0</v>
      </c>
      <c r="AC10" s="99">
        <f t="shared" si="13"/>
        <v>1931.13</v>
      </c>
      <c r="AD10" s="296">
        <v>9</v>
      </c>
      <c r="AE10" s="67" t="s">
        <v>17</v>
      </c>
      <c r="AF10" s="67">
        <v>9</v>
      </c>
      <c r="AG10" s="67">
        <v>100</v>
      </c>
      <c r="AH10" s="67">
        <v>14</v>
      </c>
      <c r="AI10" s="67">
        <v>2</v>
      </c>
      <c r="AJ10" s="62">
        <f t="shared" si="14"/>
        <v>3546.9</v>
      </c>
      <c r="AK10" s="98">
        <f t="shared" si="15"/>
        <v>157.68</v>
      </c>
      <c r="AL10" s="98">
        <f t="shared" si="16"/>
        <v>551.75400000000002</v>
      </c>
      <c r="AM10" s="99">
        <f t="shared" si="17"/>
        <v>4256.3339999999998</v>
      </c>
    </row>
    <row r="11" spans="1:39" s="101" customFormat="1" ht="14.5" customHeight="1" thickBot="1" x14ac:dyDescent="0.4">
      <c r="A11" s="490"/>
      <c r="B11" s="490"/>
      <c r="C11" s="491"/>
      <c r="D11" s="294"/>
      <c r="E11" s="67" t="s">
        <v>17</v>
      </c>
      <c r="F11" s="62">
        <v>1</v>
      </c>
      <c r="G11" s="62">
        <v>150</v>
      </c>
      <c r="H11" s="62">
        <v>22.5</v>
      </c>
      <c r="I11" s="62">
        <f t="shared" si="2"/>
        <v>656.85</v>
      </c>
      <c r="J11" s="98">
        <f t="shared" si="3"/>
        <v>98.527500000000003</v>
      </c>
      <c r="K11" s="99">
        <f t="shared" si="4"/>
        <v>755.37750000000005</v>
      </c>
      <c r="L11" s="294"/>
      <c r="M11" s="67" t="s">
        <v>17</v>
      </c>
      <c r="N11" s="62">
        <v>1</v>
      </c>
      <c r="O11" s="62">
        <v>150</v>
      </c>
      <c r="P11" s="62">
        <v>22.5</v>
      </c>
      <c r="Q11" s="62">
        <f t="shared" ref="Q11" si="22">N11*O11*4379/1000</f>
        <v>656.85</v>
      </c>
      <c r="R11" s="98">
        <f t="shared" ref="R11" si="23">N11*P11*4379/1000</f>
        <v>98.527500000000003</v>
      </c>
      <c r="S11" s="99">
        <f t="shared" ref="S11" si="24">Q11+R11</f>
        <v>755.37750000000005</v>
      </c>
      <c r="T11" s="294"/>
      <c r="U11" s="97"/>
      <c r="V11" s="62"/>
      <c r="W11" s="62"/>
      <c r="X11" s="62"/>
      <c r="Y11" s="62"/>
      <c r="Z11" s="98"/>
      <c r="AA11" s="98"/>
      <c r="AB11" s="98"/>
      <c r="AC11" s="99"/>
      <c r="AD11" s="296"/>
      <c r="AE11" s="67"/>
      <c r="AF11" s="67"/>
      <c r="AG11" s="67"/>
      <c r="AH11" s="67"/>
      <c r="AI11" s="67"/>
      <c r="AJ11" s="62"/>
      <c r="AK11" s="98"/>
      <c r="AL11" s="98"/>
      <c r="AM11" s="99"/>
    </row>
    <row r="12" spans="1:39" s="100" customFormat="1" ht="15.5" customHeight="1" x14ac:dyDescent="0.35">
      <c r="A12" s="489">
        <f>A10+1</f>
        <v>5</v>
      </c>
      <c r="B12" s="489" t="s">
        <v>289</v>
      </c>
      <c r="C12" s="487"/>
      <c r="D12" s="96">
        <v>5</v>
      </c>
      <c r="E12" s="67" t="s">
        <v>291</v>
      </c>
      <c r="F12" s="62">
        <v>2</v>
      </c>
      <c r="G12" s="62">
        <v>125</v>
      </c>
      <c r="H12" s="62">
        <v>18</v>
      </c>
      <c r="I12" s="62">
        <f t="shared" si="2"/>
        <v>1094.75</v>
      </c>
      <c r="J12" s="98">
        <f t="shared" si="3"/>
        <v>157.64400000000001</v>
      </c>
      <c r="K12" s="99">
        <f t="shared" si="4"/>
        <v>1252.394</v>
      </c>
      <c r="L12" s="96">
        <v>9</v>
      </c>
      <c r="M12" s="67" t="s">
        <v>291</v>
      </c>
      <c r="N12" s="62">
        <v>7</v>
      </c>
      <c r="O12" s="62">
        <f t="shared" si="5"/>
        <v>125</v>
      </c>
      <c r="P12" s="62">
        <f t="shared" si="6"/>
        <v>18</v>
      </c>
      <c r="Q12" s="62">
        <f t="shared" si="7"/>
        <v>3831.625</v>
      </c>
      <c r="R12" s="98">
        <f t="shared" si="8"/>
        <v>551.75400000000002</v>
      </c>
      <c r="S12" s="99">
        <f t="shared" si="9"/>
        <v>4383.3789999999999</v>
      </c>
      <c r="T12" s="96">
        <v>9</v>
      </c>
      <c r="U12" s="97" t="s">
        <v>15</v>
      </c>
      <c r="V12" s="62">
        <v>9</v>
      </c>
      <c r="W12" s="62">
        <v>30</v>
      </c>
      <c r="X12" s="62">
        <v>0</v>
      </c>
      <c r="Y12" s="62">
        <v>2</v>
      </c>
      <c r="Z12" s="98">
        <f t="shared" si="10"/>
        <v>1064.07</v>
      </c>
      <c r="AA12" s="98">
        <f t="shared" si="11"/>
        <v>157.68</v>
      </c>
      <c r="AB12" s="98">
        <f t="shared" si="12"/>
        <v>0</v>
      </c>
      <c r="AC12" s="99">
        <f t="shared" si="13"/>
        <v>1221.75</v>
      </c>
      <c r="AD12" s="69">
        <v>9</v>
      </c>
      <c r="AE12" s="67" t="s">
        <v>17</v>
      </c>
      <c r="AF12" s="67">
        <v>9</v>
      </c>
      <c r="AG12" s="67">
        <v>50</v>
      </c>
      <c r="AH12" s="67">
        <v>8</v>
      </c>
      <c r="AI12" s="67">
        <v>2</v>
      </c>
      <c r="AJ12" s="62">
        <f t="shared" si="14"/>
        <v>1773.45</v>
      </c>
      <c r="AK12" s="98">
        <f t="shared" si="15"/>
        <v>157.68</v>
      </c>
      <c r="AL12" s="98">
        <f t="shared" si="16"/>
        <v>315.28800000000001</v>
      </c>
      <c r="AM12" s="99">
        <f t="shared" si="17"/>
        <v>2246.4180000000001</v>
      </c>
    </row>
    <row r="13" spans="1:39" s="111" customFormat="1" ht="15.5" customHeight="1" x14ac:dyDescent="0.35">
      <c r="A13" s="490"/>
      <c r="B13" s="490"/>
      <c r="C13" s="488"/>
      <c r="D13" s="96"/>
      <c r="E13" s="67" t="s">
        <v>17</v>
      </c>
      <c r="F13" s="62">
        <v>2</v>
      </c>
      <c r="G13" s="62">
        <v>150</v>
      </c>
      <c r="H13" s="62">
        <v>22.5</v>
      </c>
      <c r="I13" s="62">
        <f t="shared" si="2"/>
        <v>1313.7</v>
      </c>
      <c r="J13" s="98">
        <f t="shared" si="3"/>
        <v>197.05500000000001</v>
      </c>
      <c r="K13" s="99">
        <f t="shared" si="4"/>
        <v>1510.7550000000001</v>
      </c>
      <c r="L13" s="96"/>
      <c r="M13" s="67" t="s">
        <v>17</v>
      </c>
      <c r="N13" s="62">
        <v>2</v>
      </c>
      <c r="O13" s="62">
        <f t="shared" si="5"/>
        <v>150</v>
      </c>
      <c r="P13" s="62">
        <f t="shared" si="6"/>
        <v>22.5</v>
      </c>
      <c r="Q13" s="62">
        <f t="shared" si="7"/>
        <v>1313.7</v>
      </c>
      <c r="R13" s="98">
        <f t="shared" si="8"/>
        <v>197.05500000000001</v>
      </c>
      <c r="S13" s="99">
        <f t="shared" si="9"/>
        <v>1510.7550000000001</v>
      </c>
      <c r="T13" s="96"/>
      <c r="U13" s="97"/>
      <c r="V13" s="62"/>
      <c r="W13" s="62"/>
      <c r="X13" s="62"/>
      <c r="Y13" s="62"/>
      <c r="Z13" s="98"/>
      <c r="AA13" s="98"/>
      <c r="AB13" s="98"/>
      <c r="AC13" s="99"/>
      <c r="AD13" s="69"/>
      <c r="AE13" s="67"/>
      <c r="AF13" s="67"/>
      <c r="AG13" s="67"/>
      <c r="AH13" s="67"/>
      <c r="AI13" s="67"/>
      <c r="AJ13" s="62"/>
      <c r="AK13" s="98"/>
      <c r="AL13" s="98"/>
      <c r="AM13" s="99"/>
    </row>
    <row r="14" spans="1:39" s="101" customFormat="1" ht="16" thickBot="1" x14ac:dyDescent="0.4">
      <c r="A14" s="308">
        <v>6</v>
      </c>
      <c r="B14" s="308" t="s">
        <v>292</v>
      </c>
      <c r="C14" s="113"/>
      <c r="D14" s="96">
        <v>6</v>
      </c>
      <c r="E14" s="67" t="s">
        <v>291</v>
      </c>
      <c r="F14" s="62">
        <v>1</v>
      </c>
      <c r="G14" s="62">
        <v>125</v>
      </c>
      <c r="H14" s="62">
        <v>18</v>
      </c>
      <c r="I14" s="62">
        <f t="shared" si="2"/>
        <v>547.375</v>
      </c>
      <c r="J14" s="98">
        <f t="shared" si="3"/>
        <v>78.822000000000003</v>
      </c>
      <c r="K14" s="99">
        <f t="shared" si="4"/>
        <v>626.197</v>
      </c>
      <c r="L14" s="96">
        <v>7</v>
      </c>
      <c r="M14" s="67" t="s">
        <v>291</v>
      </c>
      <c r="N14" s="62">
        <f t="shared" ref="N14" si="25">L14</f>
        <v>7</v>
      </c>
      <c r="O14" s="62">
        <f t="shared" si="5"/>
        <v>125</v>
      </c>
      <c r="P14" s="62">
        <f t="shared" si="6"/>
        <v>18</v>
      </c>
      <c r="Q14" s="62">
        <f t="shared" si="7"/>
        <v>3831.625</v>
      </c>
      <c r="R14" s="98">
        <f t="shared" si="8"/>
        <v>551.75400000000002</v>
      </c>
      <c r="S14" s="99">
        <f t="shared" si="9"/>
        <v>4383.3789999999999</v>
      </c>
      <c r="T14" s="96">
        <v>7</v>
      </c>
      <c r="U14" s="97" t="s">
        <v>15</v>
      </c>
      <c r="V14" s="62">
        <v>7</v>
      </c>
      <c r="W14" s="62">
        <v>30</v>
      </c>
      <c r="X14" s="62">
        <v>0</v>
      </c>
      <c r="Y14" s="62">
        <v>2</v>
      </c>
      <c r="Z14" s="98">
        <f t="shared" si="10"/>
        <v>827.61</v>
      </c>
      <c r="AA14" s="98">
        <f t="shared" si="11"/>
        <v>122.64</v>
      </c>
      <c r="AB14" s="98">
        <f t="shared" si="12"/>
        <v>0</v>
      </c>
      <c r="AC14" s="99">
        <f t="shared" si="13"/>
        <v>950.25</v>
      </c>
      <c r="AD14" s="69">
        <v>7</v>
      </c>
      <c r="AE14" s="67" t="s">
        <v>17</v>
      </c>
      <c r="AF14" s="67">
        <v>7</v>
      </c>
      <c r="AG14" s="67">
        <v>50</v>
      </c>
      <c r="AH14" s="67">
        <v>8</v>
      </c>
      <c r="AI14" s="67">
        <v>2</v>
      </c>
      <c r="AJ14" s="62">
        <f t="shared" si="14"/>
        <v>1379.35</v>
      </c>
      <c r="AK14" s="98">
        <f t="shared" si="15"/>
        <v>122.64</v>
      </c>
      <c r="AL14" s="98">
        <f t="shared" si="16"/>
        <v>245.22399999999999</v>
      </c>
      <c r="AM14" s="99">
        <f t="shared" si="17"/>
        <v>1747.2139999999999</v>
      </c>
    </row>
    <row r="15" spans="1:39" s="100" customFormat="1" ht="15.5" customHeight="1" x14ac:dyDescent="0.35">
      <c r="A15" s="489">
        <f t="shared" si="18"/>
        <v>7</v>
      </c>
      <c r="B15" s="489" t="s">
        <v>293</v>
      </c>
      <c r="C15" s="487"/>
      <c r="D15" s="96">
        <v>9</v>
      </c>
      <c r="E15" s="67" t="s">
        <v>290</v>
      </c>
      <c r="F15" s="62">
        <v>2</v>
      </c>
      <c r="G15" s="62">
        <v>72</v>
      </c>
      <c r="H15" s="62">
        <v>11.5</v>
      </c>
      <c r="I15" s="62">
        <f t="shared" si="2"/>
        <v>630.57600000000002</v>
      </c>
      <c r="J15" s="98">
        <f t="shared" si="3"/>
        <v>100.717</v>
      </c>
      <c r="K15" s="99">
        <f t="shared" si="4"/>
        <v>731.29300000000001</v>
      </c>
      <c r="L15" s="96">
        <f t="shared" ref="L15:L52" si="26">D15</f>
        <v>9</v>
      </c>
      <c r="M15" s="67" t="s">
        <v>290</v>
      </c>
      <c r="N15" s="62">
        <v>6</v>
      </c>
      <c r="O15" s="62">
        <f t="shared" ref="O15:O53" si="27">G15</f>
        <v>72</v>
      </c>
      <c r="P15" s="62">
        <f t="shared" ref="P15:P53" si="28">H15</f>
        <v>11.5</v>
      </c>
      <c r="Q15" s="62">
        <f t="shared" ref="Q15:Q53" si="29">N15*O15*4379/1000</f>
        <v>1891.7280000000001</v>
      </c>
      <c r="R15" s="98">
        <f t="shared" ref="R15:R53" si="30">N15*P15*4379/1000</f>
        <v>302.15100000000001</v>
      </c>
      <c r="S15" s="99">
        <f t="shared" ref="S15:S53" si="31">Q15+R15</f>
        <v>2193.8789999999999</v>
      </c>
      <c r="T15" s="96">
        <f t="shared" si="20"/>
        <v>9</v>
      </c>
      <c r="U15" s="97" t="s">
        <v>15</v>
      </c>
      <c r="V15" s="62">
        <v>9</v>
      </c>
      <c r="W15" s="62">
        <v>40</v>
      </c>
      <c r="X15" s="62">
        <v>0</v>
      </c>
      <c r="Y15" s="62">
        <v>2</v>
      </c>
      <c r="Z15" s="98">
        <f t="shared" ref="Z15:Z52" si="32">(V15*W15*2919+V15*W15*0.7*1460)/1000</f>
        <v>1418.76</v>
      </c>
      <c r="AA15" s="98">
        <f t="shared" ref="AA15:AA52" si="33">V15*Y15*8760/1000</f>
        <v>157.68</v>
      </c>
      <c r="AB15" s="98">
        <f t="shared" ref="AB15:AB52" si="34">X15*V15*4379/1000</f>
        <v>0</v>
      </c>
      <c r="AC15" s="99">
        <f t="shared" ref="AC15:AC52" si="35">Z15+AA15+AB15</f>
        <v>1576.44</v>
      </c>
      <c r="AD15" s="69">
        <f t="shared" si="21"/>
        <v>9</v>
      </c>
      <c r="AE15" s="67" t="s">
        <v>17</v>
      </c>
      <c r="AF15" s="67">
        <v>9</v>
      </c>
      <c r="AG15" s="67">
        <v>70</v>
      </c>
      <c r="AH15" s="67">
        <v>10.5</v>
      </c>
      <c r="AI15" s="67">
        <v>2</v>
      </c>
      <c r="AJ15" s="62">
        <f t="shared" si="14"/>
        <v>2482.83</v>
      </c>
      <c r="AK15" s="98">
        <f t="shared" si="15"/>
        <v>157.68</v>
      </c>
      <c r="AL15" s="98">
        <f t="shared" si="16"/>
        <v>413.81549999999999</v>
      </c>
      <c r="AM15" s="99">
        <f t="shared" si="17"/>
        <v>3054.3254999999999</v>
      </c>
    </row>
    <row r="16" spans="1:39" s="111" customFormat="1" ht="15.5" customHeight="1" x14ac:dyDescent="0.35">
      <c r="A16" s="490"/>
      <c r="B16" s="490"/>
      <c r="C16" s="492"/>
      <c r="D16" s="96"/>
      <c r="E16" s="67" t="s">
        <v>291</v>
      </c>
      <c r="F16" s="62">
        <v>3</v>
      </c>
      <c r="G16" s="62">
        <v>125</v>
      </c>
      <c r="H16" s="62">
        <v>18</v>
      </c>
      <c r="I16" s="62">
        <f t="shared" si="2"/>
        <v>1642.125</v>
      </c>
      <c r="J16" s="98">
        <f t="shared" si="3"/>
        <v>236.46600000000001</v>
      </c>
      <c r="K16" s="99">
        <f t="shared" si="4"/>
        <v>1878.5909999999999</v>
      </c>
      <c r="L16" s="96"/>
      <c r="M16" s="67" t="s">
        <v>291</v>
      </c>
      <c r="N16" s="62">
        <v>3</v>
      </c>
      <c r="O16" s="62">
        <f t="shared" si="27"/>
        <v>125</v>
      </c>
      <c r="P16" s="62">
        <f t="shared" si="28"/>
        <v>18</v>
      </c>
      <c r="Q16" s="62">
        <f t="shared" si="29"/>
        <v>1642.125</v>
      </c>
      <c r="R16" s="98">
        <f t="shared" si="30"/>
        <v>236.46600000000001</v>
      </c>
      <c r="S16" s="99">
        <f t="shared" si="31"/>
        <v>1878.5909999999999</v>
      </c>
      <c r="T16" s="96"/>
      <c r="U16" s="97"/>
      <c r="V16" s="62"/>
      <c r="W16" s="62"/>
      <c r="X16" s="62"/>
      <c r="Y16" s="62"/>
      <c r="Z16" s="98"/>
      <c r="AA16" s="98"/>
      <c r="AB16" s="98"/>
      <c r="AC16" s="99"/>
      <c r="AD16" s="69"/>
      <c r="AE16" s="67"/>
      <c r="AF16" s="67"/>
      <c r="AG16" s="67"/>
      <c r="AH16" s="67"/>
      <c r="AI16" s="67"/>
      <c r="AJ16" s="62"/>
      <c r="AK16" s="98"/>
      <c r="AL16" s="98"/>
      <c r="AM16" s="99"/>
    </row>
    <row r="17" spans="1:39" s="101" customFormat="1" ht="15.5" customHeight="1" x14ac:dyDescent="0.35">
      <c r="A17" s="489">
        <v>8</v>
      </c>
      <c r="B17" s="489" t="s">
        <v>294</v>
      </c>
      <c r="C17" s="493"/>
      <c r="D17" s="96">
        <v>6</v>
      </c>
      <c r="E17" s="67" t="s">
        <v>290</v>
      </c>
      <c r="F17" s="62">
        <v>1</v>
      </c>
      <c r="G17" s="62">
        <v>72</v>
      </c>
      <c r="H17" s="62">
        <v>11.5</v>
      </c>
      <c r="I17" s="62">
        <f t="shared" si="2"/>
        <v>315.28800000000001</v>
      </c>
      <c r="J17" s="98">
        <f t="shared" si="3"/>
        <v>50.358499999999999</v>
      </c>
      <c r="K17" s="99">
        <f t="shared" si="4"/>
        <v>365.6465</v>
      </c>
      <c r="L17" s="96">
        <f t="shared" si="26"/>
        <v>6</v>
      </c>
      <c r="M17" s="67" t="s">
        <v>290</v>
      </c>
      <c r="N17" s="62">
        <v>5</v>
      </c>
      <c r="O17" s="62">
        <f t="shared" si="27"/>
        <v>72</v>
      </c>
      <c r="P17" s="62">
        <v>11.5</v>
      </c>
      <c r="Q17" s="62">
        <f t="shared" si="29"/>
        <v>1576.44</v>
      </c>
      <c r="R17" s="98">
        <f t="shared" si="30"/>
        <v>251.79249999999999</v>
      </c>
      <c r="S17" s="99">
        <f t="shared" si="31"/>
        <v>1828.2325000000001</v>
      </c>
      <c r="T17" s="96">
        <f t="shared" si="20"/>
        <v>6</v>
      </c>
      <c r="U17" s="97" t="s">
        <v>15</v>
      </c>
      <c r="V17" s="62">
        <v>6</v>
      </c>
      <c r="W17" s="62">
        <v>40</v>
      </c>
      <c r="X17" s="62">
        <v>0</v>
      </c>
      <c r="Y17" s="62">
        <v>2</v>
      </c>
      <c r="Z17" s="98">
        <f t="shared" si="32"/>
        <v>945.84</v>
      </c>
      <c r="AA17" s="98">
        <f t="shared" si="33"/>
        <v>105.12</v>
      </c>
      <c r="AB17" s="98">
        <f t="shared" si="34"/>
        <v>0</v>
      </c>
      <c r="AC17" s="99">
        <f t="shared" si="35"/>
        <v>1050.96</v>
      </c>
      <c r="AD17" s="69">
        <f t="shared" si="21"/>
        <v>6</v>
      </c>
      <c r="AE17" s="67" t="s">
        <v>17</v>
      </c>
      <c r="AF17" s="67">
        <v>6</v>
      </c>
      <c r="AG17" s="67">
        <v>70</v>
      </c>
      <c r="AH17" s="67">
        <v>10.5</v>
      </c>
      <c r="AI17" s="67">
        <v>2</v>
      </c>
      <c r="AJ17" s="62">
        <f t="shared" si="14"/>
        <v>1655.22</v>
      </c>
      <c r="AK17" s="98">
        <f t="shared" si="15"/>
        <v>105.12</v>
      </c>
      <c r="AL17" s="98">
        <f t="shared" si="16"/>
        <v>275.87700000000001</v>
      </c>
      <c r="AM17" s="99">
        <f t="shared" si="17"/>
        <v>2036.2170000000001</v>
      </c>
    </row>
    <row r="18" spans="1:39" s="101" customFormat="1" ht="16" customHeight="1" thickBot="1" x14ac:dyDescent="0.4">
      <c r="A18" s="490"/>
      <c r="B18" s="490"/>
      <c r="C18" s="491"/>
      <c r="D18" s="96"/>
      <c r="E18" s="67" t="s">
        <v>291</v>
      </c>
      <c r="F18" s="62">
        <v>1</v>
      </c>
      <c r="G18" s="62">
        <v>125</v>
      </c>
      <c r="H18" s="62">
        <v>18</v>
      </c>
      <c r="I18" s="62">
        <f t="shared" si="2"/>
        <v>547.375</v>
      </c>
      <c r="J18" s="98">
        <f t="shared" si="3"/>
        <v>78.822000000000003</v>
      </c>
      <c r="K18" s="99">
        <f t="shared" si="4"/>
        <v>626.197</v>
      </c>
      <c r="L18" s="96"/>
      <c r="M18" s="67" t="s">
        <v>291</v>
      </c>
      <c r="N18" s="62">
        <v>1</v>
      </c>
      <c r="O18" s="62">
        <f t="shared" si="27"/>
        <v>125</v>
      </c>
      <c r="P18" s="62">
        <f t="shared" si="28"/>
        <v>18</v>
      </c>
      <c r="Q18" s="62">
        <f t="shared" si="29"/>
        <v>547.375</v>
      </c>
      <c r="R18" s="98">
        <f t="shared" si="30"/>
        <v>78.822000000000003</v>
      </c>
      <c r="S18" s="99">
        <f t="shared" si="31"/>
        <v>626.197</v>
      </c>
      <c r="T18" s="96"/>
      <c r="U18" s="97"/>
      <c r="V18" s="62"/>
      <c r="W18" s="62"/>
      <c r="X18" s="62"/>
      <c r="Y18" s="62"/>
      <c r="Z18" s="98"/>
      <c r="AA18" s="98"/>
      <c r="AB18" s="98"/>
      <c r="AC18" s="99"/>
      <c r="AD18" s="69"/>
      <c r="AE18" s="67"/>
      <c r="AF18" s="67"/>
      <c r="AG18" s="67"/>
      <c r="AH18" s="67"/>
      <c r="AI18" s="67"/>
      <c r="AJ18" s="62"/>
      <c r="AK18" s="98"/>
      <c r="AL18" s="98"/>
      <c r="AM18" s="99"/>
    </row>
    <row r="19" spans="1:39" s="102" customFormat="1" ht="16" thickBot="1" x14ac:dyDescent="0.4">
      <c r="A19" s="308">
        <v>9</v>
      </c>
      <c r="B19" s="308" t="s">
        <v>295</v>
      </c>
      <c r="C19" s="110"/>
      <c r="D19" s="96">
        <v>0</v>
      </c>
      <c r="E19" s="67" t="s">
        <v>17</v>
      </c>
      <c r="F19" s="62">
        <v>0</v>
      </c>
      <c r="G19" s="62">
        <v>0</v>
      </c>
      <c r="H19" s="62">
        <v>0</v>
      </c>
      <c r="I19" s="62">
        <f t="shared" si="2"/>
        <v>0</v>
      </c>
      <c r="J19" s="98">
        <f t="shared" si="3"/>
        <v>0</v>
      </c>
      <c r="K19" s="99">
        <f t="shared" si="4"/>
        <v>0</v>
      </c>
      <c r="L19" s="96">
        <v>5</v>
      </c>
      <c r="M19" s="67" t="s">
        <v>17</v>
      </c>
      <c r="N19" s="62">
        <f t="shared" ref="N19:N49" si="36">L19</f>
        <v>5</v>
      </c>
      <c r="O19" s="62">
        <v>70</v>
      </c>
      <c r="P19" s="62">
        <v>10.5</v>
      </c>
      <c r="Q19" s="62">
        <f t="shared" si="29"/>
        <v>1532.65</v>
      </c>
      <c r="R19" s="98">
        <f t="shared" si="30"/>
        <v>229.89750000000001</v>
      </c>
      <c r="S19" s="99">
        <f t="shared" si="31"/>
        <v>1762.5475000000001</v>
      </c>
      <c r="T19" s="96">
        <v>5</v>
      </c>
      <c r="U19" s="97" t="s">
        <v>15</v>
      </c>
      <c r="V19" s="62">
        <v>5</v>
      </c>
      <c r="W19" s="62">
        <v>30</v>
      </c>
      <c r="X19" s="62">
        <v>0</v>
      </c>
      <c r="Y19" s="62">
        <v>2</v>
      </c>
      <c r="Z19" s="98">
        <f t="shared" si="32"/>
        <v>591.15</v>
      </c>
      <c r="AA19" s="98">
        <f t="shared" si="33"/>
        <v>87.6</v>
      </c>
      <c r="AB19" s="98">
        <f t="shared" si="34"/>
        <v>0</v>
      </c>
      <c r="AC19" s="99">
        <f t="shared" si="35"/>
        <v>678.75</v>
      </c>
      <c r="AD19" s="69">
        <v>5</v>
      </c>
      <c r="AE19" s="67" t="s">
        <v>17</v>
      </c>
      <c r="AF19" s="67">
        <v>5</v>
      </c>
      <c r="AG19" s="67">
        <v>70</v>
      </c>
      <c r="AH19" s="67">
        <v>10.5</v>
      </c>
      <c r="AI19" s="67">
        <v>2</v>
      </c>
      <c r="AJ19" s="62">
        <f t="shared" si="14"/>
        <v>1379.35</v>
      </c>
      <c r="AK19" s="98">
        <f t="shared" si="15"/>
        <v>87.6</v>
      </c>
      <c r="AL19" s="98">
        <f t="shared" si="16"/>
        <v>229.89750000000001</v>
      </c>
      <c r="AM19" s="99">
        <f t="shared" si="17"/>
        <v>1696.8474999999999</v>
      </c>
    </row>
    <row r="20" spans="1:39" s="101" customFormat="1" ht="15.5" customHeight="1" x14ac:dyDescent="0.35">
      <c r="A20" s="489">
        <f t="shared" si="18"/>
        <v>10</v>
      </c>
      <c r="B20" s="489" t="s">
        <v>296</v>
      </c>
      <c r="C20" s="487"/>
      <c r="D20" s="96">
        <v>4</v>
      </c>
      <c r="E20" s="67" t="s">
        <v>290</v>
      </c>
      <c r="F20" s="62">
        <v>1</v>
      </c>
      <c r="G20" s="62">
        <v>72</v>
      </c>
      <c r="H20" s="62">
        <v>11.5</v>
      </c>
      <c r="I20" s="62">
        <f t="shared" si="2"/>
        <v>315.28800000000001</v>
      </c>
      <c r="J20" s="98">
        <f t="shared" si="3"/>
        <v>50.358499999999999</v>
      </c>
      <c r="K20" s="99">
        <f t="shared" si="4"/>
        <v>365.6465</v>
      </c>
      <c r="L20" s="96">
        <v>8</v>
      </c>
      <c r="M20" s="67" t="s">
        <v>290</v>
      </c>
      <c r="N20" s="62">
        <v>6</v>
      </c>
      <c r="O20" s="62">
        <f t="shared" si="27"/>
        <v>72</v>
      </c>
      <c r="P20" s="62">
        <f t="shared" si="28"/>
        <v>11.5</v>
      </c>
      <c r="Q20" s="62">
        <f t="shared" si="29"/>
        <v>1891.7280000000001</v>
      </c>
      <c r="R20" s="98">
        <f t="shared" si="30"/>
        <v>302.15100000000001</v>
      </c>
      <c r="S20" s="99">
        <f t="shared" si="31"/>
        <v>2193.8789999999999</v>
      </c>
      <c r="T20" s="96">
        <v>8</v>
      </c>
      <c r="U20" s="97" t="s">
        <v>15</v>
      </c>
      <c r="V20" s="62">
        <v>8</v>
      </c>
      <c r="W20" s="62">
        <v>30</v>
      </c>
      <c r="X20" s="62">
        <v>0</v>
      </c>
      <c r="Y20" s="62">
        <v>2</v>
      </c>
      <c r="Z20" s="98">
        <f t="shared" si="32"/>
        <v>945.84</v>
      </c>
      <c r="AA20" s="98">
        <f t="shared" si="33"/>
        <v>140.16</v>
      </c>
      <c r="AB20" s="98">
        <f t="shared" si="34"/>
        <v>0</v>
      </c>
      <c r="AC20" s="99">
        <f t="shared" si="35"/>
        <v>1086</v>
      </c>
      <c r="AD20" s="69">
        <v>8</v>
      </c>
      <c r="AE20" s="67" t="s">
        <v>17</v>
      </c>
      <c r="AF20" s="67">
        <v>8</v>
      </c>
      <c r="AG20" s="67">
        <v>50</v>
      </c>
      <c r="AH20" s="67">
        <v>8</v>
      </c>
      <c r="AI20" s="67">
        <v>2</v>
      </c>
      <c r="AJ20" s="62">
        <f t="shared" si="14"/>
        <v>1576.4</v>
      </c>
      <c r="AK20" s="98">
        <f t="shared" si="15"/>
        <v>140.16</v>
      </c>
      <c r="AL20" s="98">
        <f t="shared" si="16"/>
        <v>280.25599999999997</v>
      </c>
      <c r="AM20" s="99">
        <f t="shared" si="17"/>
        <v>1996.8160000000003</v>
      </c>
    </row>
    <row r="21" spans="1:39" s="101" customFormat="1" ht="15.5" customHeight="1" x14ac:dyDescent="0.35">
      <c r="A21" s="494"/>
      <c r="B21" s="494"/>
      <c r="C21" s="488"/>
      <c r="D21" s="96"/>
      <c r="E21" s="67" t="s">
        <v>291</v>
      </c>
      <c r="F21" s="62">
        <v>1</v>
      </c>
      <c r="G21" s="62">
        <v>125</v>
      </c>
      <c r="H21" s="62">
        <v>18</v>
      </c>
      <c r="I21" s="62">
        <f t="shared" si="2"/>
        <v>547.375</v>
      </c>
      <c r="J21" s="98">
        <f t="shared" si="3"/>
        <v>78.822000000000003</v>
      </c>
      <c r="K21" s="99">
        <f t="shared" si="4"/>
        <v>626.197</v>
      </c>
      <c r="L21" s="96"/>
      <c r="M21" s="67" t="s">
        <v>291</v>
      </c>
      <c r="N21" s="62">
        <v>1</v>
      </c>
      <c r="O21" s="62">
        <f t="shared" si="27"/>
        <v>125</v>
      </c>
      <c r="P21" s="62">
        <v>18</v>
      </c>
      <c r="Q21" s="62">
        <f t="shared" si="29"/>
        <v>547.375</v>
      </c>
      <c r="R21" s="98">
        <f t="shared" ref="R21:R22" si="37">N21*P21*4379/1000</f>
        <v>78.822000000000003</v>
      </c>
      <c r="S21" s="99">
        <f t="shared" ref="S21:S22" si="38">Q21+R21</f>
        <v>626.197</v>
      </c>
      <c r="T21" s="96"/>
      <c r="U21" s="97"/>
      <c r="V21" s="62"/>
      <c r="W21" s="62"/>
      <c r="X21" s="62"/>
      <c r="Y21" s="62"/>
      <c r="Z21" s="98"/>
      <c r="AA21" s="98"/>
      <c r="AB21" s="98"/>
      <c r="AC21" s="99"/>
      <c r="AD21" s="69"/>
      <c r="AE21" s="67"/>
      <c r="AF21" s="67"/>
      <c r="AG21" s="67"/>
      <c r="AH21" s="67"/>
      <c r="AI21" s="67"/>
      <c r="AJ21" s="62"/>
      <c r="AK21" s="98"/>
      <c r="AL21" s="98"/>
      <c r="AM21" s="99"/>
    </row>
    <row r="22" spans="1:39" s="101" customFormat="1" ht="16" customHeight="1" thickBot="1" x14ac:dyDescent="0.4">
      <c r="A22" s="490"/>
      <c r="B22" s="490"/>
      <c r="C22" s="491"/>
      <c r="D22" s="96"/>
      <c r="E22" s="67" t="s">
        <v>17</v>
      </c>
      <c r="F22" s="62">
        <v>1</v>
      </c>
      <c r="G22" s="62">
        <v>150</v>
      </c>
      <c r="H22" s="62">
        <v>22.5</v>
      </c>
      <c r="I22" s="62">
        <f t="shared" si="2"/>
        <v>656.85</v>
      </c>
      <c r="J22" s="98">
        <f t="shared" si="3"/>
        <v>98.527500000000003</v>
      </c>
      <c r="K22" s="99">
        <f t="shared" si="4"/>
        <v>755.37750000000005</v>
      </c>
      <c r="L22" s="96"/>
      <c r="M22" s="67" t="s">
        <v>17</v>
      </c>
      <c r="N22" s="62">
        <v>1</v>
      </c>
      <c r="O22" s="62">
        <f t="shared" si="27"/>
        <v>150</v>
      </c>
      <c r="P22" s="62">
        <v>22.5</v>
      </c>
      <c r="Q22" s="62">
        <f t="shared" si="29"/>
        <v>656.85</v>
      </c>
      <c r="R22" s="98">
        <f t="shared" si="37"/>
        <v>98.527500000000003</v>
      </c>
      <c r="S22" s="99">
        <f t="shared" si="38"/>
        <v>755.37750000000005</v>
      </c>
      <c r="T22" s="96"/>
      <c r="U22" s="97"/>
      <c r="V22" s="62"/>
      <c r="W22" s="62"/>
      <c r="X22" s="62"/>
      <c r="Y22" s="62"/>
      <c r="Z22" s="98"/>
      <c r="AA22" s="98"/>
      <c r="AB22" s="98"/>
      <c r="AC22" s="99"/>
      <c r="AD22" s="69"/>
      <c r="AE22" s="67"/>
      <c r="AF22" s="67"/>
      <c r="AG22" s="67"/>
      <c r="AH22" s="67"/>
      <c r="AI22" s="67"/>
      <c r="AJ22" s="62"/>
      <c r="AK22" s="98"/>
      <c r="AL22" s="98"/>
      <c r="AM22" s="99"/>
    </row>
    <row r="23" spans="1:39" s="100" customFormat="1" ht="15.5" customHeight="1" x14ac:dyDescent="0.35">
      <c r="A23" s="489">
        <v>11</v>
      </c>
      <c r="B23" s="489" t="s">
        <v>297</v>
      </c>
      <c r="C23" s="487"/>
      <c r="D23" s="96">
        <v>6</v>
      </c>
      <c r="E23" s="67" t="s">
        <v>291</v>
      </c>
      <c r="F23" s="62">
        <v>4</v>
      </c>
      <c r="G23" s="62">
        <v>125</v>
      </c>
      <c r="H23" s="62">
        <v>18</v>
      </c>
      <c r="I23" s="62">
        <f t="shared" si="2"/>
        <v>2189.5</v>
      </c>
      <c r="J23" s="98">
        <f t="shared" si="3"/>
        <v>315.28800000000001</v>
      </c>
      <c r="K23" s="99">
        <f t="shared" si="4"/>
        <v>2504.788</v>
      </c>
      <c r="L23" s="96">
        <f t="shared" si="26"/>
        <v>6</v>
      </c>
      <c r="M23" s="67" t="s">
        <v>291</v>
      </c>
      <c r="N23" s="62">
        <v>5</v>
      </c>
      <c r="O23" s="62">
        <f t="shared" si="27"/>
        <v>125</v>
      </c>
      <c r="P23" s="62">
        <f t="shared" si="28"/>
        <v>18</v>
      </c>
      <c r="Q23" s="62">
        <f t="shared" si="29"/>
        <v>2736.875</v>
      </c>
      <c r="R23" s="98">
        <f t="shared" si="30"/>
        <v>394.11</v>
      </c>
      <c r="S23" s="99">
        <f t="shared" si="31"/>
        <v>3130.9850000000001</v>
      </c>
      <c r="T23" s="96">
        <f t="shared" si="20"/>
        <v>6</v>
      </c>
      <c r="U23" s="97" t="s">
        <v>15</v>
      </c>
      <c r="V23" s="62">
        <v>6</v>
      </c>
      <c r="W23" s="62">
        <v>30</v>
      </c>
      <c r="X23" s="62">
        <v>0</v>
      </c>
      <c r="Y23" s="62">
        <v>2</v>
      </c>
      <c r="Z23" s="98">
        <f t="shared" si="32"/>
        <v>709.38</v>
      </c>
      <c r="AA23" s="98">
        <f t="shared" si="33"/>
        <v>105.12</v>
      </c>
      <c r="AB23" s="98">
        <f t="shared" si="34"/>
        <v>0</v>
      </c>
      <c r="AC23" s="99">
        <f t="shared" si="35"/>
        <v>814.5</v>
      </c>
      <c r="AD23" s="69">
        <f t="shared" si="21"/>
        <v>6</v>
      </c>
      <c r="AE23" s="67" t="s">
        <v>17</v>
      </c>
      <c r="AF23" s="67">
        <v>6</v>
      </c>
      <c r="AG23" s="67">
        <v>50</v>
      </c>
      <c r="AH23" s="67">
        <v>8</v>
      </c>
      <c r="AI23" s="67">
        <v>2</v>
      </c>
      <c r="AJ23" s="62">
        <f t="shared" si="14"/>
        <v>1182.3</v>
      </c>
      <c r="AK23" s="98">
        <f t="shared" si="15"/>
        <v>105.12</v>
      </c>
      <c r="AL23" s="98">
        <f t="shared" si="16"/>
        <v>210.19200000000001</v>
      </c>
      <c r="AM23" s="99">
        <f t="shared" si="17"/>
        <v>1497.6120000000001</v>
      </c>
    </row>
    <row r="24" spans="1:39" s="111" customFormat="1" ht="15.5" customHeight="1" x14ac:dyDescent="0.35">
      <c r="A24" s="490"/>
      <c r="B24" s="490"/>
      <c r="C24" s="488"/>
      <c r="D24" s="96"/>
      <c r="E24" s="67" t="s">
        <v>17</v>
      </c>
      <c r="F24" s="62">
        <v>1</v>
      </c>
      <c r="G24" s="62">
        <v>150</v>
      </c>
      <c r="H24" s="62">
        <v>22.5</v>
      </c>
      <c r="I24" s="62">
        <f t="shared" si="2"/>
        <v>656.85</v>
      </c>
      <c r="J24" s="98">
        <f t="shared" si="3"/>
        <v>98.527500000000003</v>
      </c>
      <c r="K24" s="99">
        <f t="shared" si="4"/>
        <v>755.37750000000005</v>
      </c>
      <c r="L24" s="96"/>
      <c r="M24" s="67" t="s">
        <v>17</v>
      </c>
      <c r="N24" s="62">
        <v>1</v>
      </c>
      <c r="O24" s="62">
        <f t="shared" si="27"/>
        <v>150</v>
      </c>
      <c r="P24" s="62">
        <v>22.5</v>
      </c>
      <c r="Q24" s="62">
        <f t="shared" si="29"/>
        <v>656.85</v>
      </c>
      <c r="R24" s="98">
        <f t="shared" ref="R24:R29" si="39">N24*P24*4379/1000</f>
        <v>98.527500000000003</v>
      </c>
      <c r="S24" s="99">
        <f t="shared" ref="S24:S29" si="40">Q24+R24</f>
        <v>755.37750000000005</v>
      </c>
      <c r="T24" s="96"/>
      <c r="U24" s="97"/>
      <c r="V24" s="62"/>
      <c r="W24" s="62"/>
      <c r="X24" s="62"/>
      <c r="Y24" s="62"/>
      <c r="Z24" s="98"/>
      <c r="AA24" s="98"/>
      <c r="AB24" s="98"/>
      <c r="AC24" s="99"/>
      <c r="AD24" s="69"/>
      <c r="AE24" s="67"/>
      <c r="AF24" s="67"/>
      <c r="AG24" s="67"/>
      <c r="AH24" s="67"/>
      <c r="AI24" s="67"/>
      <c r="AJ24" s="62"/>
      <c r="AK24" s="98"/>
      <c r="AL24" s="98"/>
      <c r="AM24" s="99"/>
    </row>
    <row r="25" spans="1:39" s="101" customFormat="1" ht="15.5" customHeight="1" x14ac:dyDescent="0.35">
      <c r="A25" s="489">
        <v>12</v>
      </c>
      <c r="B25" s="489" t="s">
        <v>298</v>
      </c>
      <c r="C25" s="488"/>
      <c r="D25" s="96">
        <v>8</v>
      </c>
      <c r="E25" s="67" t="s">
        <v>291</v>
      </c>
      <c r="F25" s="62">
        <v>3</v>
      </c>
      <c r="G25" s="62">
        <v>125</v>
      </c>
      <c r="H25" s="62">
        <v>18</v>
      </c>
      <c r="I25" s="62">
        <f t="shared" si="2"/>
        <v>1642.125</v>
      </c>
      <c r="J25" s="98">
        <f t="shared" si="3"/>
        <v>236.46600000000001</v>
      </c>
      <c r="K25" s="99">
        <f t="shared" si="4"/>
        <v>1878.5909999999999</v>
      </c>
      <c r="L25" s="96">
        <v>15</v>
      </c>
      <c r="M25" s="67" t="s">
        <v>291</v>
      </c>
      <c r="N25" s="62">
        <v>3</v>
      </c>
      <c r="O25" s="62">
        <f t="shared" si="27"/>
        <v>125</v>
      </c>
      <c r="P25" s="62">
        <f t="shared" si="28"/>
        <v>18</v>
      </c>
      <c r="Q25" s="62">
        <f t="shared" si="29"/>
        <v>1642.125</v>
      </c>
      <c r="R25" s="98">
        <f t="shared" si="39"/>
        <v>236.46600000000001</v>
      </c>
      <c r="S25" s="99">
        <f t="shared" si="40"/>
        <v>1878.5909999999999</v>
      </c>
      <c r="T25" s="96">
        <v>15</v>
      </c>
      <c r="U25" s="97" t="s">
        <v>15</v>
      </c>
      <c r="V25" s="62">
        <v>15</v>
      </c>
      <c r="W25" s="62">
        <v>50</v>
      </c>
      <c r="X25" s="62">
        <v>0</v>
      </c>
      <c r="Y25" s="62">
        <v>2</v>
      </c>
      <c r="Z25" s="98">
        <f t="shared" si="32"/>
        <v>2955.75</v>
      </c>
      <c r="AA25" s="98">
        <f t="shared" si="33"/>
        <v>262.8</v>
      </c>
      <c r="AB25" s="98">
        <f t="shared" si="34"/>
        <v>0</v>
      </c>
      <c r="AC25" s="99">
        <f t="shared" si="35"/>
        <v>3218.55</v>
      </c>
      <c r="AD25" s="69">
        <v>15</v>
      </c>
      <c r="AE25" s="67" t="s">
        <v>17</v>
      </c>
      <c r="AF25" s="67">
        <v>15</v>
      </c>
      <c r="AG25" s="67">
        <v>100</v>
      </c>
      <c r="AH25" s="67">
        <v>14</v>
      </c>
      <c r="AI25" s="67">
        <v>2</v>
      </c>
      <c r="AJ25" s="62">
        <f t="shared" si="14"/>
        <v>5911.5</v>
      </c>
      <c r="AK25" s="98">
        <f t="shared" si="15"/>
        <v>262.8</v>
      </c>
      <c r="AL25" s="98">
        <f t="shared" si="16"/>
        <v>919.59</v>
      </c>
      <c r="AM25" s="99">
        <f t="shared" si="17"/>
        <v>7093.89</v>
      </c>
    </row>
    <row r="26" spans="1:39" s="101" customFormat="1" ht="16" customHeight="1" thickBot="1" x14ac:dyDescent="0.4">
      <c r="A26" s="490"/>
      <c r="B26" s="490"/>
      <c r="C26" s="491"/>
      <c r="D26" s="96"/>
      <c r="E26" s="67" t="s">
        <v>17</v>
      </c>
      <c r="F26" s="62">
        <v>4</v>
      </c>
      <c r="G26" s="62">
        <v>150</v>
      </c>
      <c r="H26" s="62">
        <v>22.5</v>
      </c>
      <c r="I26" s="62">
        <f t="shared" si="2"/>
        <v>2627.4</v>
      </c>
      <c r="J26" s="98">
        <f t="shared" si="3"/>
        <v>394.11</v>
      </c>
      <c r="K26" s="99">
        <f t="shared" si="4"/>
        <v>3021.51</v>
      </c>
      <c r="L26" s="96"/>
      <c r="M26" s="67" t="s">
        <v>17</v>
      </c>
      <c r="N26" s="62">
        <v>12</v>
      </c>
      <c r="O26" s="62">
        <f t="shared" si="27"/>
        <v>150</v>
      </c>
      <c r="P26" s="62">
        <v>22.5</v>
      </c>
      <c r="Q26" s="62">
        <f t="shared" si="29"/>
        <v>7882.2</v>
      </c>
      <c r="R26" s="98">
        <f t="shared" si="39"/>
        <v>1182.33</v>
      </c>
      <c r="S26" s="99">
        <f t="shared" si="40"/>
        <v>9064.5299999999988</v>
      </c>
      <c r="T26" s="96"/>
      <c r="U26" s="97"/>
      <c r="V26" s="62"/>
      <c r="W26" s="62"/>
      <c r="X26" s="62"/>
      <c r="Y26" s="62"/>
      <c r="Z26" s="98"/>
      <c r="AA26" s="98"/>
      <c r="AB26" s="98"/>
      <c r="AC26" s="99"/>
      <c r="AD26" s="69"/>
      <c r="AE26" s="67"/>
      <c r="AF26" s="67"/>
      <c r="AG26" s="67"/>
      <c r="AH26" s="67"/>
      <c r="AI26" s="67"/>
      <c r="AJ26" s="62"/>
      <c r="AK26" s="98"/>
      <c r="AL26" s="98"/>
      <c r="AM26" s="99"/>
    </row>
    <row r="27" spans="1:39" s="100" customFormat="1" ht="15.5" x14ac:dyDescent="0.35">
      <c r="A27" s="307">
        <v>13</v>
      </c>
      <c r="B27" s="307" t="s">
        <v>299</v>
      </c>
      <c r="C27" s="109"/>
      <c r="D27" s="96">
        <v>8</v>
      </c>
      <c r="E27" s="67" t="s">
        <v>17</v>
      </c>
      <c r="F27" s="62">
        <v>5</v>
      </c>
      <c r="G27" s="62">
        <v>150</v>
      </c>
      <c r="H27" s="62">
        <v>22.5</v>
      </c>
      <c r="I27" s="62">
        <f t="shared" si="2"/>
        <v>3284.25</v>
      </c>
      <c r="J27" s="98">
        <f t="shared" si="3"/>
        <v>492.63749999999999</v>
      </c>
      <c r="K27" s="99">
        <f t="shared" si="4"/>
        <v>3776.8874999999998</v>
      </c>
      <c r="L27" s="96">
        <v>10</v>
      </c>
      <c r="M27" s="67" t="s">
        <v>17</v>
      </c>
      <c r="N27" s="62">
        <v>10</v>
      </c>
      <c r="O27" s="62">
        <f t="shared" si="27"/>
        <v>150</v>
      </c>
      <c r="P27" s="62">
        <f t="shared" si="28"/>
        <v>22.5</v>
      </c>
      <c r="Q27" s="62">
        <f t="shared" si="29"/>
        <v>6568.5</v>
      </c>
      <c r="R27" s="98">
        <f t="shared" si="39"/>
        <v>985.27499999999998</v>
      </c>
      <c r="S27" s="99">
        <f t="shared" si="40"/>
        <v>7553.7749999999996</v>
      </c>
      <c r="T27" s="96">
        <v>10</v>
      </c>
      <c r="U27" s="97" t="s">
        <v>15</v>
      </c>
      <c r="V27" s="62">
        <v>10</v>
      </c>
      <c r="W27" s="62">
        <v>30</v>
      </c>
      <c r="X27" s="62">
        <v>0</v>
      </c>
      <c r="Y27" s="62">
        <v>2</v>
      </c>
      <c r="Z27" s="98">
        <f t="shared" si="32"/>
        <v>1182.3</v>
      </c>
      <c r="AA27" s="98">
        <f t="shared" si="33"/>
        <v>175.2</v>
      </c>
      <c r="AB27" s="98">
        <f t="shared" si="34"/>
        <v>0</v>
      </c>
      <c r="AC27" s="99">
        <f t="shared" si="35"/>
        <v>1357.5</v>
      </c>
      <c r="AD27" s="69">
        <v>10</v>
      </c>
      <c r="AE27" s="67" t="s">
        <v>17</v>
      </c>
      <c r="AF27" s="67">
        <v>10</v>
      </c>
      <c r="AG27" s="67">
        <v>50</v>
      </c>
      <c r="AH27" s="67">
        <v>8</v>
      </c>
      <c r="AI27" s="67">
        <v>2</v>
      </c>
      <c r="AJ27" s="62">
        <f t="shared" si="14"/>
        <v>1970.5</v>
      </c>
      <c r="AK27" s="98">
        <f t="shared" si="15"/>
        <v>175.2</v>
      </c>
      <c r="AL27" s="98">
        <f t="shared" si="16"/>
        <v>350.32</v>
      </c>
      <c r="AM27" s="99">
        <f t="shared" si="17"/>
        <v>2496.02</v>
      </c>
    </row>
    <row r="28" spans="1:39" s="101" customFormat="1" ht="15.5" customHeight="1" x14ac:dyDescent="0.35">
      <c r="A28" s="489">
        <v>14</v>
      </c>
      <c r="B28" s="489" t="s">
        <v>300</v>
      </c>
      <c r="C28" s="493"/>
      <c r="D28" s="96">
        <v>5</v>
      </c>
      <c r="E28" s="67" t="s">
        <v>290</v>
      </c>
      <c r="F28" s="62">
        <v>1</v>
      </c>
      <c r="G28" s="62">
        <v>72</v>
      </c>
      <c r="H28" s="62">
        <v>11.5</v>
      </c>
      <c r="I28" s="62">
        <f t="shared" si="2"/>
        <v>315.28800000000001</v>
      </c>
      <c r="J28" s="98">
        <f t="shared" si="3"/>
        <v>50.358499999999999</v>
      </c>
      <c r="K28" s="99">
        <f t="shared" si="4"/>
        <v>365.6465</v>
      </c>
      <c r="L28" s="96">
        <f t="shared" si="26"/>
        <v>5</v>
      </c>
      <c r="M28" s="67" t="s">
        <v>290</v>
      </c>
      <c r="N28" s="62">
        <v>4</v>
      </c>
      <c r="O28" s="62">
        <f t="shared" si="27"/>
        <v>72</v>
      </c>
      <c r="P28" s="62">
        <f t="shared" si="28"/>
        <v>11.5</v>
      </c>
      <c r="Q28" s="62">
        <f t="shared" si="29"/>
        <v>1261.152</v>
      </c>
      <c r="R28" s="98">
        <f t="shared" si="39"/>
        <v>201.434</v>
      </c>
      <c r="S28" s="99">
        <f t="shared" si="40"/>
        <v>1462.586</v>
      </c>
      <c r="T28" s="96">
        <f t="shared" si="20"/>
        <v>5</v>
      </c>
      <c r="U28" s="97" t="s">
        <v>15</v>
      </c>
      <c r="V28" s="62">
        <v>5</v>
      </c>
      <c r="W28" s="62">
        <v>30</v>
      </c>
      <c r="X28" s="62">
        <v>0</v>
      </c>
      <c r="Y28" s="62">
        <v>2</v>
      </c>
      <c r="Z28" s="98">
        <f t="shared" si="32"/>
        <v>591.15</v>
      </c>
      <c r="AA28" s="98">
        <f t="shared" si="33"/>
        <v>87.6</v>
      </c>
      <c r="AB28" s="98">
        <f t="shared" si="34"/>
        <v>0</v>
      </c>
      <c r="AC28" s="99">
        <f t="shared" si="35"/>
        <v>678.75</v>
      </c>
      <c r="AD28" s="69">
        <f t="shared" si="21"/>
        <v>5</v>
      </c>
      <c r="AE28" s="67" t="s">
        <v>17</v>
      </c>
      <c r="AF28" s="67">
        <v>5</v>
      </c>
      <c r="AG28" s="67">
        <v>50</v>
      </c>
      <c r="AH28" s="67">
        <v>8</v>
      </c>
      <c r="AI28" s="67">
        <v>2</v>
      </c>
      <c r="AJ28" s="62">
        <f t="shared" si="14"/>
        <v>985.25</v>
      </c>
      <c r="AK28" s="98">
        <f t="shared" si="15"/>
        <v>87.6</v>
      </c>
      <c r="AL28" s="98">
        <f t="shared" si="16"/>
        <v>175.16</v>
      </c>
      <c r="AM28" s="99">
        <f t="shared" si="17"/>
        <v>1248.01</v>
      </c>
    </row>
    <row r="29" spans="1:39" s="101" customFormat="1" ht="16" customHeight="1" thickBot="1" x14ac:dyDescent="0.4">
      <c r="A29" s="490"/>
      <c r="B29" s="490"/>
      <c r="C29" s="491"/>
      <c r="D29" s="96"/>
      <c r="E29" s="67" t="s">
        <v>17</v>
      </c>
      <c r="F29" s="62">
        <v>1</v>
      </c>
      <c r="G29" s="62">
        <v>150</v>
      </c>
      <c r="H29" s="62">
        <v>22.5</v>
      </c>
      <c r="I29" s="62">
        <f t="shared" si="2"/>
        <v>656.85</v>
      </c>
      <c r="J29" s="98">
        <f t="shared" si="3"/>
        <v>98.527500000000003</v>
      </c>
      <c r="K29" s="99">
        <f t="shared" si="4"/>
        <v>755.37750000000005</v>
      </c>
      <c r="L29" s="96"/>
      <c r="M29" s="67" t="s">
        <v>17</v>
      </c>
      <c r="N29" s="62">
        <v>1</v>
      </c>
      <c r="O29" s="62">
        <f t="shared" si="27"/>
        <v>150</v>
      </c>
      <c r="P29" s="62">
        <v>22.5</v>
      </c>
      <c r="Q29" s="62">
        <f t="shared" si="29"/>
        <v>656.85</v>
      </c>
      <c r="R29" s="98">
        <f t="shared" si="39"/>
        <v>98.527500000000003</v>
      </c>
      <c r="S29" s="99">
        <f t="shared" si="40"/>
        <v>755.37750000000005</v>
      </c>
      <c r="T29" s="96"/>
      <c r="U29" s="97"/>
      <c r="V29" s="62"/>
      <c r="W29" s="62"/>
      <c r="X29" s="62"/>
      <c r="Y29" s="62"/>
      <c r="Z29" s="98"/>
      <c r="AA29" s="98"/>
      <c r="AB29" s="98"/>
      <c r="AC29" s="99"/>
      <c r="AD29" s="69"/>
      <c r="AE29" s="67"/>
      <c r="AF29" s="67"/>
      <c r="AG29" s="67"/>
      <c r="AH29" s="67"/>
      <c r="AI29" s="67"/>
      <c r="AJ29" s="62"/>
      <c r="AK29" s="98"/>
      <c r="AL29" s="98"/>
      <c r="AM29" s="99"/>
    </row>
    <row r="30" spans="1:39" s="100" customFormat="1" ht="15.5" x14ac:dyDescent="0.35">
      <c r="A30" s="307">
        <f>A28+1</f>
        <v>15</v>
      </c>
      <c r="B30" s="307" t="s">
        <v>301</v>
      </c>
      <c r="C30" s="109"/>
      <c r="D30" s="96">
        <v>1</v>
      </c>
      <c r="E30" s="67" t="s">
        <v>290</v>
      </c>
      <c r="F30" s="62">
        <v>1</v>
      </c>
      <c r="G30" s="62">
        <v>72</v>
      </c>
      <c r="H30" s="62">
        <v>11.5</v>
      </c>
      <c r="I30" s="62">
        <f t="shared" si="2"/>
        <v>315.28800000000001</v>
      </c>
      <c r="J30" s="98">
        <f t="shared" si="3"/>
        <v>50.358499999999999</v>
      </c>
      <c r="K30" s="99">
        <f t="shared" si="4"/>
        <v>365.6465</v>
      </c>
      <c r="L30" s="96">
        <v>3</v>
      </c>
      <c r="M30" s="67" t="s">
        <v>290</v>
      </c>
      <c r="N30" s="62">
        <v>3</v>
      </c>
      <c r="O30" s="62">
        <f t="shared" si="27"/>
        <v>72</v>
      </c>
      <c r="P30" s="62">
        <f t="shared" si="28"/>
        <v>11.5</v>
      </c>
      <c r="Q30" s="62">
        <f t="shared" si="29"/>
        <v>945.86400000000003</v>
      </c>
      <c r="R30" s="98">
        <f t="shared" si="30"/>
        <v>151.07550000000001</v>
      </c>
      <c r="S30" s="99">
        <f t="shared" si="31"/>
        <v>1096.9395</v>
      </c>
      <c r="T30" s="96">
        <v>3</v>
      </c>
      <c r="U30" s="97" t="s">
        <v>15</v>
      </c>
      <c r="V30" s="62">
        <v>3</v>
      </c>
      <c r="W30" s="62">
        <v>30</v>
      </c>
      <c r="X30" s="62">
        <v>0</v>
      </c>
      <c r="Y30" s="62">
        <v>2</v>
      </c>
      <c r="Z30" s="98">
        <f t="shared" si="32"/>
        <v>354.69</v>
      </c>
      <c r="AA30" s="98">
        <f t="shared" si="33"/>
        <v>52.56</v>
      </c>
      <c r="AB30" s="98">
        <f t="shared" si="34"/>
        <v>0</v>
      </c>
      <c r="AC30" s="99">
        <f t="shared" si="35"/>
        <v>407.25</v>
      </c>
      <c r="AD30" s="69">
        <v>3</v>
      </c>
      <c r="AE30" s="67" t="s">
        <v>17</v>
      </c>
      <c r="AF30" s="67">
        <v>3</v>
      </c>
      <c r="AG30" s="67">
        <v>50</v>
      </c>
      <c r="AH30" s="67">
        <v>8</v>
      </c>
      <c r="AI30" s="67">
        <v>2</v>
      </c>
      <c r="AJ30" s="62">
        <f t="shared" si="14"/>
        <v>591.15</v>
      </c>
      <c r="AK30" s="98">
        <f t="shared" si="15"/>
        <v>52.56</v>
      </c>
      <c r="AL30" s="98">
        <f t="shared" si="16"/>
        <v>105.096</v>
      </c>
      <c r="AM30" s="99">
        <f t="shared" si="17"/>
        <v>748.80600000000004</v>
      </c>
    </row>
    <row r="31" spans="1:39" s="101" customFormat="1" ht="15.5" x14ac:dyDescent="0.35">
      <c r="A31" s="308">
        <v>16</v>
      </c>
      <c r="B31" s="308" t="s">
        <v>302</v>
      </c>
      <c r="C31" s="112"/>
      <c r="D31" s="96">
        <v>3</v>
      </c>
      <c r="E31" s="67" t="s">
        <v>17</v>
      </c>
      <c r="F31" s="62">
        <v>1</v>
      </c>
      <c r="G31" s="62">
        <v>150</v>
      </c>
      <c r="H31" s="62">
        <v>22.5</v>
      </c>
      <c r="I31" s="62">
        <f t="shared" si="2"/>
        <v>656.85</v>
      </c>
      <c r="J31" s="98">
        <f t="shared" si="3"/>
        <v>98.527500000000003</v>
      </c>
      <c r="K31" s="99">
        <f t="shared" si="4"/>
        <v>755.37750000000005</v>
      </c>
      <c r="L31" s="96">
        <v>8</v>
      </c>
      <c r="M31" s="67" t="s">
        <v>17</v>
      </c>
      <c r="N31" s="62">
        <v>8</v>
      </c>
      <c r="O31" s="62">
        <f t="shared" si="27"/>
        <v>150</v>
      </c>
      <c r="P31" s="62">
        <f t="shared" si="28"/>
        <v>22.5</v>
      </c>
      <c r="Q31" s="62">
        <f t="shared" si="29"/>
        <v>5254.8</v>
      </c>
      <c r="R31" s="98">
        <f t="shared" si="30"/>
        <v>788.22</v>
      </c>
      <c r="S31" s="99">
        <f t="shared" si="31"/>
        <v>6043.02</v>
      </c>
      <c r="T31" s="96">
        <v>8</v>
      </c>
      <c r="U31" s="97" t="s">
        <v>15</v>
      </c>
      <c r="V31" s="62">
        <v>8</v>
      </c>
      <c r="W31" s="62">
        <v>40</v>
      </c>
      <c r="X31" s="62">
        <v>0</v>
      </c>
      <c r="Y31" s="62">
        <v>2</v>
      </c>
      <c r="Z31" s="98">
        <f t="shared" si="32"/>
        <v>1261.1199999999999</v>
      </c>
      <c r="AA31" s="98">
        <f t="shared" si="33"/>
        <v>140.16</v>
      </c>
      <c r="AB31" s="98">
        <f t="shared" si="34"/>
        <v>0</v>
      </c>
      <c r="AC31" s="99">
        <f t="shared" si="35"/>
        <v>1401.28</v>
      </c>
      <c r="AD31" s="69">
        <v>8</v>
      </c>
      <c r="AE31" s="67" t="s">
        <v>17</v>
      </c>
      <c r="AF31" s="67">
        <v>8</v>
      </c>
      <c r="AG31" s="67">
        <v>70</v>
      </c>
      <c r="AH31" s="67">
        <v>10.5</v>
      </c>
      <c r="AI31" s="67">
        <v>2</v>
      </c>
      <c r="AJ31" s="62">
        <f t="shared" si="14"/>
        <v>2206.96</v>
      </c>
      <c r="AK31" s="98">
        <f t="shared" si="15"/>
        <v>140.16</v>
      </c>
      <c r="AL31" s="98">
        <f t="shared" si="16"/>
        <v>367.83600000000001</v>
      </c>
      <c r="AM31" s="99">
        <f t="shared" si="17"/>
        <v>2714.9560000000001</v>
      </c>
    </row>
    <row r="32" spans="1:39" s="101" customFormat="1" ht="15.5" customHeight="1" x14ac:dyDescent="0.35">
      <c r="A32" s="489">
        <f t="shared" si="18"/>
        <v>17</v>
      </c>
      <c r="B32" s="489" t="s">
        <v>303</v>
      </c>
      <c r="C32" s="493"/>
      <c r="D32" s="96">
        <v>9</v>
      </c>
      <c r="E32" s="67" t="s">
        <v>290</v>
      </c>
      <c r="F32" s="62">
        <v>1</v>
      </c>
      <c r="G32" s="62">
        <v>72</v>
      </c>
      <c r="H32" s="62">
        <v>11.5</v>
      </c>
      <c r="I32" s="62">
        <f t="shared" si="2"/>
        <v>315.28800000000001</v>
      </c>
      <c r="J32" s="98">
        <f t="shared" si="3"/>
        <v>50.358499999999999</v>
      </c>
      <c r="K32" s="99">
        <f t="shared" si="4"/>
        <v>365.6465</v>
      </c>
      <c r="L32" s="96">
        <v>10</v>
      </c>
      <c r="M32" s="67" t="s">
        <v>290</v>
      </c>
      <c r="N32" s="62">
        <v>4</v>
      </c>
      <c r="O32" s="62">
        <f t="shared" si="27"/>
        <v>72</v>
      </c>
      <c r="P32" s="62">
        <f t="shared" si="28"/>
        <v>11.5</v>
      </c>
      <c r="Q32" s="62">
        <f t="shared" si="29"/>
        <v>1261.152</v>
      </c>
      <c r="R32" s="98">
        <f t="shared" si="30"/>
        <v>201.434</v>
      </c>
      <c r="S32" s="99">
        <f t="shared" si="31"/>
        <v>1462.586</v>
      </c>
      <c r="T32" s="96">
        <v>10</v>
      </c>
      <c r="U32" s="97" t="s">
        <v>15</v>
      </c>
      <c r="V32" s="62">
        <v>10</v>
      </c>
      <c r="W32" s="62">
        <v>40</v>
      </c>
      <c r="X32" s="62">
        <v>0</v>
      </c>
      <c r="Y32" s="62">
        <v>2</v>
      </c>
      <c r="Z32" s="98">
        <f t="shared" si="32"/>
        <v>1576.4</v>
      </c>
      <c r="AA32" s="98">
        <f t="shared" si="33"/>
        <v>175.2</v>
      </c>
      <c r="AB32" s="98">
        <f t="shared" si="34"/>
        <v>0</v>
      </c>
      <c r="AC32" s="99">
        <f t="shared" si="35"/>
        <v>1751.6000000000001</v>
      </c>
      <c r="AD32" s="69">
        <v>10</v>
      </c>
      <c r="AE32" s="67" t="s">
        <v>17</v>
      </c>
      <c r="AF32" s="67">
        <v>10</v>
      </c>
      <c r="AG32" s="67">
        <v>70</v>
      </c>
      <c r="AH32" s="67">
        <v>10.5</v>
      </c>
      <c r="AI32" s="67">
        <v>2</v>
      </c>
      <c r="AJ32" s="62">
        <f t="shared" si="14"/>
        <v>2758.7</v>
      </c>
      <c r="AK32" s="98">
        <f t="shared" si="15"/>
        <v>175.2</v>
      </c>
      <c r="AL32" s="98">
        <f t="shared" si="16"/>
        <v>459.79500000000002</v>
      </c>
      <c r="AM32" s="99">
        <f t="shared" si="17"/>
        <v>3393.6949999999997</v>
      </c>
    </row>
    <row r="33" spans="1:39" s="101" customFormat="1" ht="15.5" customHeight="1" x14ac:dyDescent="0.35">
      <c r="A33" s="494"/>
      <c r="B33" s="494"/>
      <c r="C33" s="488"/>
      <c r="D33" s="96"/>
      <c r="E33" s="67" t="s">
        <v>291</v>
      </c>
      <c r="F33" s="62">
        <v>1</v>
      </c>
      <c r="G33" s="62">
        <v>125</v>
      </c>
      <c r="H33" s="62">
        <v>18</v>
      </c>
      <c r="I33" s="62">
        <f t="shared" si="2"/>
        <v>547.375</v>
      </c>
      <c r="J33" s="98">
        <f t="shared" si="3"/>
        <v>78.822000000000003</v>
      </c>
      <c r="K33" s="99">
        <f t="shared" si="4"/>
        <v>626.197</v>
      </c>
      <c r="L33" s="96"/>
      <c r="M33" s="67" t="s">
        <v>291</v>
      </c>
      <c r="N33" s="62">
        <v>1</v>
      </c>
      <c r="O33" s="62">
        <f t="shared" si="27"/>
        <v>125</v>
      </c>
      <c r="P33" s="62">
        <f t="shared" si="28"/>
        <v>18</v>
      </c>
      <c r="Q33" s="62">
        <f t="shared" si="29"/>
        <v>547.375</v>
      </c>
      <c r="R33" s="98">
        <f t="shared" si="30"/>
        <v>78.822000000000003</v>
      </c>
      <c r="S33" s="99">
        <f t="shared" si="31"/>
        <v>626.197</v>
      </c>
      <c r="T33" s="96"/>
      <c r="U33" s="97"/>
      <c r="V33" s="62"/>
      <c r="W33" s="62"/>
      <c r="X33" s="62"/>
      <c r="Y33" s="62"/>
      <c r="Z33" s="98"/>
      <c r="AA33" s="98"/>
      <c r="AB33" s="98"/>
      <c r="AC33" s="99"/>
      <c r="AD33" s="69"/>
      <c r="AE33" s="67"/>
      <c r="AF33" s="67"/>
      <c r="AG33" s="67"/>
      <c r="AH33" s="67"/>
      <c r="AI33" s="67"/>
      <c r="AJ33" s="62"/>
      <c r="AK33" s="98"/>
      <c r="AL33" s="98"/>
      <c r="AM33" s="99"/>
    </row>
    <row r="34" spans="1:39" s="101" customFormat="1" ht="15.5" customHeight="1" thickBot="1" x14ac:dyDescent="0.4">
      <c r="A34" s="495"/>
      <c r="B34" s="495"/>
      <c r="C34" s="492"/>
      <c r="D34" s="96"/>
      <c r="E34" s="67" t="s">
        <v>17</v>
      </c>
      <c r="F34" s="62">
        <v>5</v>
      </c>
      <c r="G34" s="62">
        <v>150</v>
      </c>
      <c r="H34" s="62">
        <v>22.5</v>
      </c>
      <c r="I34" s="62">
        <f t="shared" si="2"/>
        <v>3284.25</v>
      </c>
      <c r="J34" s="98">
        <f t="shared" si="3"/>
        <v>492.63749999999999</v>
      </c>
      <c r="K34" s="99">
        <f t="shared" si="4"/>
        <v>3776.8874999999998</v>
      </c>
      <c r="L34" s="96"/>
      <c r="M34" s="67" t="s">
        <v>17</v>
      </c>
      <c r="N34" s="62">
        <v>5</v>
      </c>
      <c r="O34" s="62">
        <f t="shared" si="27"/>
        <v>150</v>
      </c>
      <c r="P34" s="62">
        <f t="shared" si="28"/>
        <v>22.5</v>
      </c>
      <c r="Q34" s="62">
        <f t="shared" si="29"/>
        <v>3284.25</v>
      </c>
      <c r="R34" s="98">
        <f t="shared" si="30"/>
        <v>492.63749999999999</v>
      </c>
      <c r="S34" s="99">
        <f t="shared" si="31"/>
        <v>3776.8874999999998</v>
      </c>
      <c r="T34" s="96"/>
      <c r="U34" s="97"/>
      <c r="V34" s="62"/>
      <c r="W34" s="62"/>
      <c r="X34" s="62"/>
      <c r="Y34" s="62"/>
      <c r="Z34" s="98"/>
      <c r="AA34" s="98"/>
      <c r="AB34" s="98"/>
      <c r="AC34" s="99"/>
      <c r="AD34" s="69"/>
      <c r="AE34" s="67"/>
      <c r="AF34" s="67"/>
      <c r="AG34" s="67"/>
      <c r="AH34" s="67"/>
      <c r="AI34" s="67"/>
      <c r="AJ34" s="62"/>
      <c r="AK34" s="98"/>
      <c r="AL34" s="98"/>
      <c r="AM34" s="99"/>
    </row>
    <row r="35" spans="1:39" s="302" customFormat="1" ht="16" thickBot="1" x14ac:dyDescent="0.4">
      <c r="A35" s="301"/>
      <c r="B35" s="348"/>
      <c r="C35" s="348"/>
      <c r="D35" s="482" t="s">
        <v>305</v>
      </c>
      <c r="E35" s="485"/>
      <c r="F35" s="485"/>
      <c r="G35" s="485"/>
      <c r="H35" s="485"/>
      <c r="I35" s="485"/>
      <c r="J35" s="485"/>
      <c r="K35" s="486"/>
      <c r="L35" s="482" t="s">
        <v>305</v>
      </c>
      <c r="M35" s="485"/>
      <c r="N35" s="485"/>
      <c r="O35" s="485"/>
      <c r="P35" s="485"/>
      <c r="Q35" s="485"/>
      <c r="R35" s="485"/>
      <c r="S35" s="486"/>
      <c r="T35" s="482" t="s">
        <v>305</v>
      </c>
      <c r="U35" s="483"/>
      <c r="V35" s="483"/>
      <c r="W35" s="483"/>
      <c r="X35" s="483"/>
      <c r="Y35" s="483"/>
      <c r="Z35" s="483"/>
      <c r="AA35" s="483"/>
      <c r="AB35" s="483"/>
      <c r="AC35" s="484"/>
      <c r="AD35" s="482" t="s">
        <v>305</v>
      </c>
      <c r="AE35" s="485"/>
      <c r="AF35" s="485"/>
      <c r="AG35" s="485"/>
      <c r="AH35" s="485"/>
      <c r="AI35" s="485"/>
      <c r="AJ35" s="485"/>
      <c r="AK35" s="485"/>
      <c r="AL35" s="485"/>
      <c r="AM35" s="486"/>
    </row>
    <row r="36" spans="1:39" s="101" customFormat="1" ht="15.5" x14ac:dyDescent="0.35">
      <c r="A36" s="307">
        <f t="shared" si="18"/>
        <v>1</v>
      </c>
      <c r="B36" s="344" t="s">
        <v>307</v>
      </c>
      <c r="C36" s="112"/>
      <c r="D36" s="295">
        <v>0</v>
      </c>
      <c r="E36" s="112"/>
      <c r="F36" s="61">
        <v>0</v>
      </c>
      <c r="G36" s="61">
        <v>0</v>
      </c>
      <c r="H36" s="61">
        <v>0</v>
      </c>
      <c r="I36" s="61">
        <f t="shared" si="2"/>
        <v>0</v>
      </c>
      <c r="J36" s="345">
        <f t="shared" si="3"/>
        <v>0</v>
      </c>
      <c r="K36" s="346">
        <f t="shared" si="4"/>
        <v>0</v>
      </c>
      <c r="L36" s="295">
        <v>10</v>
      </c>
      <c r="M36" s="112" t="s">
        <v>17</v>
      </c>
      <c r="N36" s="61">
        <f t="shared" si="36"/>
        <v>10</v>
      </c>
      <c r="O36" s="61">
        <v>70</v>
      </c>
      <c r="P36" s="61">
        <v>10.5</v>
      </c>
      <c r="Q36" s="61">
        <f t="shared" si="29"/>
        <v>3065.3</v>
      </c>
      <c r="R36" s="345">
        <f t="shared" si="30"/>
        <v>459.79500000000002</v>
      </c>
      <c r="S36" s="346">
        <f t="shared" si="31"/>
        <v>3525.0950000000003</v>
      </c>
      <c r="T36" s="295">
        <v>10</v>
      </c>
      <c r="U36" s="347" t="s">
        <v>15</v>
      </c>
      <c r="V36" s="61">
        <v>10</v>
      </c>
      <c r="W36" s="61">
        <v>30</v>
      </c>
      <c r="X36" s="61">
        <v>0</v>
      </c>
      <c r="Y36" s="61">
        <v>2</v>
      </c>
      <c r="Z36" s="345">
        <f t="shared" si="32"/>
        <v>1182.3</v>
      </c>
      <c r="AA36" s="345">
        <f t="shared" si="33"/>
        <v>175.2</v>
      </c>
      <c r="AB36" s="345">
        <f t="shared" si="34"/>
        <v>0</v>
      </c>
      <c r="AC36" s="346">
        <f t="shared" si="35"/>
        <v>1357.5</v>
      </c>
      <c r="AD36" s="297">
        <v>10</v>
      </c>
      <c r="AE36" s="112" t="s">
        <v>17</v>
      </c>
      <c r="AF36" s="112">
        <v>10</v>
      </c>
      <c r="AG36" s="112">
        <v>50</v>
      </c>
      <c r="AH36" s="112">
        <v>8</v>
      </c>
      <c r="AI36" s="112">
        <v>2</v>
      </c>
      <c r="AJ36" s="61">
        <f t="shared" si="14"/>
        <v>1970.5</v>
      </c>
      <c r="AK36" s="345">
        <f t="shared" si="15"/>
        <v>175.2</v>
      </c>
      <c r="AL36" s="345">
        <f t="shared" si="16"/>
        <v>350.32</v>
      </c>
      <c r="AM36" s="346">
        <f t="shared" si="17"/>
        <v>2496.02</v>
      </c>
    </row>
    <row r="37" spans="1:39" s="101" customFormat="1" ht="15.5" x14ac:dyDescent="0.35">
      <c r="A37" s="307">
        <f>A36+1</f>
        <v>2</v>
      </c>
      <c r="B37" s="307" t="s">
        <v>308</v>
      </c>
      <c r="C37" s="67"/>
      <c r="D37" s="96">
        <v>7</v>
      </c>
      <c r="E37" s="67"/>
      <c r="F37" s="62">
        <v>0</v>
      </c>
      <c r="G37" s="62">
        <v>0</v>
      </c>
      <c r="H37" s="62">
        <v>0</v>
      </c>
      <c r="I37" s="62">
        <f t="shared" si="2"/>
        <v>0</v>
      </c>
      <c r="J37" s="98">
        <f t="shared" si="3"/>
        <v>0</v>
      </c>
      <c r="K37" s="99">
        <f t="shared" si="4"/>
        <v>0</v>
      </c>
      <c r="L37" s="96">
        <v>11</v>
      </c>
      <c r="M37" s="67" t="s">
        <v>17</v>
      </c>
      <c r="N37" s="62">
        <f t="shared" si="36"/>
        <v>11</v>
      </c>
      <c r="O37" s="62">
        <v>70</v>
      </c>
      <c r="P37" s="62">
        <v>10.5</v>
      </c>
      <c r="Q37" s="62">
        <f t="shared" si="29"/>
        <v>3371.83</v>
      </c>
      <c r="R37" s="98">
        <f t="shared" si="30"/>
        <v>505.77449999999999</v>
      </c>
      <c r="S37" s="99">
        <f t="shared" si="31"/>
        <v>3877.6044999999999</v>
      </c>
      <c r="T37" s="96">
        <v>11</v>
      </c>
      <c r="U37" s="97" t="s">
        <v>15</v>
      </c>
      <c r="V37" s="62">
        <v>11</v>
      </c>
      <c r="W37" s="62">
        <v>40</v>
      </c>
      <c r="X37" s="62">
        <v>0</v>
      </c>
      <c r="Y37" s="62">
        <v>2</v>
      </c>
      <c r="Z37" s="98">
        <f t="shared" si="32"/>
        <v>1734.04</v>
      </c>
      <c r="AA37" s="98">
        <f t="shared" si="33"/>
        <v>192.72</v>
      </c>
      <c r="AB37" s="98">
        <f t="shared" si="34"/>
        <v>0</v>
      </c>
      <c r="AC37" s="99">
        <f t="shared" si="35"/>
        <v>1926.76</v>
      </c>
      <c r="AD37" s="69">
        <v>11</v>
      </c>
      <c r="AE37" s="67" t="s">
        <v>17</v>
      </c>
      <c r="AF37" s="67">
        <v>11</v>
      </c>
      <c r="AG37" s="67">
        <v>70</v>
      </c>
      <c r="AH37" s="67">
        <v>10.5</v>
      </c>
      <c r="AI37" s="67">
        <v>2</v>
      </c>
      <c r="AJ37" s="62">
        <f t="shared" si="14"/>
        <v>3034.57</v>
      </c>
      <c r="AK37" s="98">
        <f t="shared" si="15"/>
        <v>192.72</v>
      </c>
      <c r="AL37" s="98">
        <f t="shared" si="16"/>
        <v>505.77449999999999</v>
      </c>
      <c r="AM37" s="99">
        <f t="shared" si="17"/>
        <v>3733.0645</v>
      </c>
    </row>
    <row r="38" spans="1:39" s="101" customFormat="1" ht="15.5" customHeight="1" x14ac:dyDescent="0.35">
      <c r="A38" s="489">
        <f t="shared" ref="A38" si="41">A37+1</f>
        <v>3</v>
      </c>
      <c r="B38" s="489" t="s">
        <v>310</v>
      </c>
      <c r="C38" s="67"/>
      <c r="D38" s="96">
        <v>8</v>
      </c>
      <c r="E38" s="67" t="s">
        <v>290</v>
      </c>
      <c r="F38" s="62">
        <v>1</v>
      </c>
      <c r="G38" s="62">
        <v>72</v>
      </c>
      <c r="H38" s="62">
        <v>11.5</v>
      </c>
      <c r="I38" s="62">
        <f t="shared" si="2"/>
        <v>315.28800000000001</v>
      </c>
      <c r="J38" s="98">
        <f t="shared" si="3"/>
        <v>50.358499999999999</v>
      </c>
      <c r="K38" s="99">
        <f t="shared" si="4"/>
        <v>365.6465</v>
      </c>
      <c r="L38" s="96">
        <v>11</v>
      </c>
      <c r="M38" s="67" t="s">
        <v>290</v>
      </c>
      <c r="N38" s="62">
        <v>9</v>
      </c>
      <c r="O38" s="62">
        <f t="shared" si="27"/>
        <v>72</v>
      </c>
      <c r="P38" s="62">
        <f t="shared" si="28"/>
        <v>11.5</v>
      </c>
      <c r="Q38" s="62">
        <f t="shared" si="29"/>
        <v>2837.5920000000001</v>
      </c>
      <c r="R38" s="98">
        <f t="shared" si="30"/>
        <v>453.22649999999999</v>
      </c>
      <c r="S38" s="99">
        <f t="shared" si="31"/>
        <v>3290.8185000000003</v>
      </c>
      <c r="T38" s="96">
        <v>11</v>
      </c>
      <c r="U38" s="97" t="s">
        <v>15</v>
      </c>
      <c r="V38" s="62">
        <v>12</v>
      </c>
      <c r="W38" s="62">
        <v>40</v>
      </c>
      <c r="X38" s="62">
        <v>0</v>
      </c>
      <c r="Y38" s="62">
        <v>2</v>
      </c>
      <c r="Z38" s="98">
        <f t="shared" si="32"/>
        <v>1891.68</v>
      </c>
      <c r="AA38" s="98">
        <f t="shared" si="33"/>
        <v>210.24</v>
      </c>
      <c r="AB38" s="98">
        <f t="shared" si="34"/>
        <v>0</v>
      </c>
      <c r="AC38" s="99">
        <f t="shared" si="35"/>
        <v>2101.92</v>
      </c>
      <c r="AD38" s="69">
        <v>11</v>
      </c>
      <c r="AE38" s="67" t="s">
        <v>17</v>
      </c>
      <c r="AF38" s="67">
        <v>12</v>
      </c>
      <c r="AG38" s="67">
        <v>70</v>
      </c>
      <c r="AH38" s="67">
        <v>10.5</v>
      </c>
      <c r="AI38" s="67">
        <v>2</v>
      </c>
      <c r="AJ38" s="62">
        <f t="shared" si="14"/>
        <v>3310.44</v>
      </c>
      <c r="AK38" s="98">
        <f t="shared" si="15"/>
        <v>210.24</v>
      </c>
      <c r="AL38" s="98">
        <f t="shared" si="16"/>
        <v>551.75400000000002</v>
      </c>
      <c r="AM38" s="99">
        <f t="shared" si="17"/>
        <v>4072.4340000000002</v>
      </c>
    </row>
    <row r="39" spans="1:39" s="101" customFormat="1" ht="15.5" customHeight="1" x14ac:dyDescent="0.35">
      <c r="A39" s="494"/>
      <c r="B39" s="494"/>
      <c r="C39" s="67"/>
      <c r="D39" s="96"/>
      <c r="E39" s="67" t="s">
        <v>291</v>
      </c>
      <c r="F39" s="62">
        <v>2</v>
      </c>
      <c r="G39" s="62">
        <v>125</v>
      </c>
      <c r="H39" s="62">
        <v>18</v>
      </c>
      <c r="I39" s="62">
        <f t="shared" si="2"/>
        <v>1094.75</v>
      </c>
      <c r="J39" s="98">
        <f t="shared" si="3"/>
        <v>157.64400000000001</v>
      </c>
      <c r="K39" s="99">
        <f t="shared" si="4"/>
        <v>1252.394</v>
      </c>
      <c r="L39" s="96"/>
      <c r="M39" s="67" t="s">
        <v>291</v>
      </c>
      <c r="N39" s="62">
        <v>2</v>
      </c>
      <c r="O39" s="62">
        <v>125</v>
      </c>
      <c r="P39" s="62">
        <v>18</v>
      </c>
      <c r="Q39" s="62">
        <f t="shared" ref="Q39:Q40" si="42">N39*O39*4379/1000</f>
        <v>1094.75</v>
      </c>
      <c r="R39" s="98">
        <f t="shared" ref="R39:R40" si="43">N39*P39*4379/1000</f>
        <v>157.64400000000001</v>
      </c>
      <c r="S39" s="99">
        <f t="shared" ref="S39:S40" si="44">Q39+R39</f>
        <v>1252.394</v>
      </c>
      <c r="T39" s="96"/>
      <c r="U39" s="97"/>
      <c r="V39" s="62"/>
      <c r="W39" s="62"/>
      <c r="X39" s="62"/>
      <c r="Y39" s="62"/>
      <c r="Z39" s="98"/>
      <c r="AA39" s="98"/>
      <c r="AB39" s="98"/>
      <c r="AC39" s="99"/>
      <c r="AD39" s="69"/>
      <c r="AE39" s="67"/>
      <c r="AF39" s="67"/>
      <c r="AG39" s="67"/>
      <c r="AH39" s="67"/>
      <c r="AI39" s="67"/>
      <c r="AJ39" s="62"/>
      <c r="AK39" s="98"/>
      <c r="AL39" s="98"/>
      <c r="AM39" s="99"/>
    </row>
    <row r="40" spans="1:39" s="101" customFormat="1" ht="15.5" customHeight="1" x14ac:dyDescent="0.35">
      <c r="A40" s="490"/>
      <c r="B40" s="490"/>
      <c r="C40" s="67"/>
      <c r="D40" s="96"/>
      <c r="E40" s="67" t="s">
        <v>17</v>
      </c>
      <c r="F40" s="62">
        <v>1</v>
      </c>
      <c r="G40" s="62">
        <v>150</v>
      </c>
      <c r="H40" s="62">
        <v>22.5</v>
      </c>
      <c r="I40" s="62">
        <f t="shared" si="2"/>
        <v>656.85</v>
      </c>
      <c r="J40" s="98">
        <f t="shared" si="3"/>
        <v>98.527500000000003</v>
      </c>
      <c r="K40" s="99">
        <f t="shared" si="4"/>
        <v>755.37750000000005</v>
      </c>
      <c r="L40" s="96"/>
      <c r="M40" s="67" t="s">
        <v>17</v>
      </c>
      <c r="N40" s="62">
        <v>1</v>
      </c>
      <c r="O40" s="62">
        <v>150</v>
      </c>
      <c r="P40" s="62">
        <v>22.5</v>
      </c>
      <c r="Q40" s="62">
        <f t="shared" si="42"/>
        <v>656.85</v>
      </c>
      <c r="R40" s="98">
        <f t="shared" si="43"/>
        <v>98.527500000000003</v>
      </c>
      <c r="S40" s="99">
        <f t="shared" si="44"/>
        <v>755.37750000000005</v>
      </c>
      <c r="T40" s="96"/>
      <c r="U40" s="97"/>
      <c r="V40" s="62"/>
      <c r="W40" s="62"/>
      <c r="X40" s="62"/>
      <c r="Y40" s="62"/>
      <c r="Z40" s="98"/>
      <c r="AA40" s="98"/>
      <c r="AB40" s="98"/>
      <c r="AC40" s="99"/>
      <c r="AD40" s="69"/>
      <c r="AE40" s="67"/>
      <c r="AF40" s="67"/>
      <c r="AG40" s="67"/>
      <c r="AH40" s="67"/>
      <c r="AI40" s="67"/>
      <c r="AJ40" s="62"/>
      <c r="AK40" s="98"/>
      <c r="AL40" s="98"/>
      <c r="AM40" s="99"/>
    </row>
    <row r="41" spans="1:39" s="101" customFormat="1" ht="15.5" customHeight="1" x14ac:dyDescent="0.35">
      <c r="A41" s="489">
        <f>A38+1</f>
        <v>4</v>
      </c>
      <c r="B41" s="489" t="s">
        <v>311</v>
      </c>
      <c r="C41" s="67"/>
      <c r="D41" s="96">
        <v>5</v>
      </c>
      <c r="E41" s="67" t="s">
        <v>291</v>
      </c>
      <c r="F41" s="62">
        <v>1</v>
      </c>
      <c r="G41" s="62">
        <v>125</v>
      </c>
      <c r="H41" s="62">
        <v>18</v>
      </c>
      <c r="I41" s="62">
        <f t="shared" si="2"/>
        <v>547.375</v>
      </c>
      <c r="J41" s="98">
        <f t="shared" si="3"/>
        <v>78.822000000000003</v>
      </c>
      <c r="K41" s="99">
        <f t="shared" si="4"/>
        <v>626.197</v>
      </c>
      <c r="L41" s="96">
        <v>7</v>
      </c>
      <c r="M41" s="67" t="s">
        <v>291</v>
      </c>
      <c r="N41" s="62">
        <v>1</v>
      </c>
      <c r="O41" s="62">
        <f t="shared" si="27"/>
        <v>125</v>
      </c>
      <c r="P41" s="62">
        <f t="shared" si="28"/>
        <v>18</v>
      </c>
      <c r="Q41" s="62">
        <f t="shared" si="29"/>
        <v>547.375</v>
      </c>
      <c r="R41" s="98">
        <f t="shared" si="30"/>
        <v>78.822000000000003</v>
      </c>
      <c r="S41" s="99">
        <f t="shared" si="31"/>
        <v>626.197</v>
      </c>
      <c r="T41" s="96">
        <v>7</v>
      </c>
      <c r="U41" s="97" t="s">
        <v>15</v>
      </c>
      <c r="V41" s="62">
        <v>7</v>
      </c>
      <c r="W41" s="62">
        <v>40</v>
      </c>
      <c r="X41" s="62">
        <v>0</v>
      </c>
      <c r="Y41" s="62">
        <v>2</v>
      </c>
      <c r="Z41" s="98">
        <f t="shared" si="32"/>
        <v>1103.48</v>
      </c>
      <c r="AA41" s="98">
        <f t="shared" si="33"/>
        <v>122.64</v>
      </c>
      <c r="AB41" s="98">
        <f t="shared" si="34"/>
        <v>0</v>
      </c>
      <c r="AC41" s="99">
        <f t="shared" si="35"/>
        <v>1226.1200000000001</v>
      </c>
      <c r="AD41" s="69">
        <v>7</v>
      </c>
      <c r="AE41" s="67" t="s">
        <v>17</v>
      </c>
      <c r="AF41" s="67">
        <v>7</v>
      </c>
      <c r="AG41" s="67">
        <v>70</v>
      </c>
      <c r="AH41" s="67">
        <v>10.5</v>
      </c>
      <c r="AI41" s="67">
        <v>2</v>
      </c>
      <c r="AJ41" s="62">
        <f t="shared" si="14"/>
        <v>1931.09</v>
      </c>
      <c r="AK41" s="98">
        <f t="shared" si="15"/>
        <v>122.64</v>
      </c>
      <c r="AL41" s="98">
        <f t="shared" si="16"/>
        <v>321.85649999999998</v>
      </c>
      <c r="AM41" s="99">
        <f t="shared" si="17"/>
        <v>2375.5864999999999</v>
      </c>
    </row>
    <row r="42" spans="1:39" s="101" customFormat="1" ht="15.5" customHeight="1" x14ac:dyDescent="0.35">
      <c r="A42" s="490"/>
      <c r="B42" s="490"/>
      <c r="C42" s="67"/>
      <c r="D42" s="96"/>
      <c r="E42" s="67" t="s">
        <v>17</v>
      </c>
      <c r="F42" s="62">
        <v>3</v>
      </c>
      <c r="G42" s="62">
        <v>150</v>
      </c>
      <c r="H42" s="62">
        <v>22.5</v>
      </c>
      <c r="I42" s="62">
        <f t="shared" si="2"/>
        <v>1970.55</v>
      </c>
      <c r="J42" s="98">
        <f t="shared" si="3"/>
        <v>295.58249999999998</v>
      </c>
      <c r="K42" s="99">
        <f t="shared" si="4"/>
        <v>2266.1324999999997</v>
      </c>
      <c r="L42" s="96"/>
      <c r="M42" s="67" t="s">
        <v>17</v>
      </c>
      <c r="N42" s="62">
        <v>6</v>
      </c>
      <c r="O42" s="62">
        <v>150</v>
      </c>
      <c r="P42" s="62">
        <v>22.5</v>
      </c>
      <c r="Q42" s="62">
        <f t="shared" ref="Q42" si="45">N42*O42*4379/1000</f>
        <v>3941.1</v>
      </c>
      <c r="R42" s="98">
        <f t="shared" ref="R42" si="46">N42*P42*4379/1000</f>
        <v>591.16499999999996</v>
      </c>
      <c r="S42" s="99">
        <f t="shared" ref="S42" si="47">Q42+R42</f>
        <v>4532.2649999999994</v>
      </c>
      <c r="T42" s="96"/>
      <c r="U42" s="97"/>
      <c r="V42" s="62"/>
      <c r="W42" s="62"/>
      <c r="X42" s="62"/>
      <c r="Y42" s="62"/>
      <c r="Z42" s="98"/>
      <c r="AA42" s="98"/>
      <c r="AB42" s="98"/>
      <c r="AC42" s="99"/>
      <c r="AD42" s="69"/>
      <c r="AE42" s="67"/>
      <c r="AF42" s="67"/>
      <c r="AG42" s="67"/>
      <c r="AH42" s="67"/>
      <c r="AI42" s="67"/>
      <c r="AJ42" s="62"/>
      <c r="AK42" s="98"/>
      <c r="AL42" s="98"/>
      <c r="AM42" s="99"/>
    </row>
    <row r="43" spans="1:39" s="101" customFormat="1" ht="15.5" customHeight="1" x14ac:dyDescent="0.35">
      <c r="A43" s="489">
        <f>A41+1</f>
        <v>5</v>
      </c>
      <c r="B43" s="489" t="s">
        <v>312</v>
      </c>
      <c r="C43" s="67"/>
      <c r="D43" s="96">
        <v>4</v>
      </c>
      <c r="E43" s="67" t="s">
        <v>291</v>
      </c>
      <c r="F43" s="62">
        <v>1</v>
      </c>
      <c r="G43" s="62">
        <v>125</v>
      </c>
      <c r="H43" s="62">
        <v>18</v>
      </c>
      <c r="I43" s="62">
        <f t="shared" si="2"/>
        <v>547.375</v>
      </c>
      <c r="J43" s="98">
        <f t="shared" si="3"/>
        <v>78.822000000000003</v>
      </c>
      <c r="K43" s="99">
        <f t="shared" si="4"/>
        <v>626.197</v>
      </c>
      <c r="L43" s="96">
        <v>5</v>
      </c>
      <c r="M43" s="67" t="s">
        <v>291</v>
      </c>
      <c r="N43" s="62">
        <v>1</v>
      </c>
      <c r="O43" s="62">
        <f t="shared" si="27"/>
        <v>125</v>
      </c>
      <c r="P43" s="62">
        <f t="shared" si="28"/>
        <v>18</v>
      </c>
      <c r="Q43" s="62">
        <f t="shared" si="29"/>
        <v>547.375</v>
      </c>
      <c r="R43" s="98">
        <f t="shared" si="30"/>
        <v>78.822000000000003</v>
      </c>
      <c r="S43" s="99">
        <f t="shared" si="31"/>
        <v>626.197</v>
      </c>
      <c r="T43" s="96">
        <v>5</v>
      </c>
      <c r="U43" s="97" t="s">
        <v>15</v>
      </c>
      <c r="V43" s="62">
        <v>5</v>
      </c>
      <c r="W43" s="62">
        <v>40</v>
      </c>
      <c r="X43" s="62">
        <v>0</v>
      </c>
      <c r="Y43" s="62">
        <v>2</v>
      </c>
      <c r="Z43" s="98">
        <f t="shared" si="32"/>
        <v>788.2</v>
      </c>
      <c r="AA43" s="98">
        <f t="shared" si="33"/>
        <v>87.6</v>
      </c>
      <c r="AB43" s="98">
        <f t="shared" si="34"/>
        <v>0</v>
      </c>
      <c r="AC43" s="99">
        <f t="shared" si="35"/>
        <v>875.80000000000007</v>
      </c>
      <c r="AD43" s="69">
        <v>5</v>
      </c>
      <c r="AE43" s="67" t="s">
        <v>17</v>
      </c>
      <c r="AF43" s="67">
        <v>5</v>
      </c>
      <c r="AG43" s="67">
        <v>70</v>
      </c>
      <c r="AH43" s="67">
        <v>10.5</v>
      </c>
      <c r="AI43" s="67">
        <v>2</v>
      </c>
      <c r="AJ43" s="62">
        <f t="shared" si="14"/>
        <v>1379.35</v>
      </c>
      <c r="AK43" s="98">
        <f t="shared" si="15"/>
        <v>87.6</v>
      </c>
      <c r="AL43" s="98">
        <f t="shared" si="16"/>
        <v>229.89750000000001</v>
      </c>
      <c r="AM43" s="99">
        <f t="shared" si="17"/>
        <v>1696.8474999999999</v>
      </c>
    </row>
    <row r="44" spans="1:39" s="101" customFormat="1" ht="15.5" customHeight="1" x14ac:dyDescent="0.35">
      <c r="A44" s="490"/>
      <c r="B44" s="490"/>
      <c r="C44" s="67"/>
      <c r="D44" s="96"/>
      <c r="E44" s="67" t="s">
        <v>17</v>
      </c>
      <c r="F44" s="62">
        <v>1</v>
      </c>
      <c r="G44" s="62">
        <v>150</v>
      </c>
      <c r="H44" s="62">
        <v>22.5</v>
      </c>
      <c r="I44" s="62">
        <f t="shared" si="2"/>
        <v>656.85</v>
      </c>
      <c r="J44" s="98">
        <f t="shared" si="3"/>
        <v>98.527500000000003</v>
      </c>
      <c r="K44" s="99">
        <f t="shared" si="4"/>
        <v>755.37750000000005</v>
      </c>
      <c r="L44" s="96"/>
      <c r="M44" s="67" t="s">
        <v>17</v>
      </c>
      <c r="N44" s="62">
        <v>4</v>
      </c>
      <c r="O44" s="62">
        <v>150</v>
      </c>
      <c r="P44" s="62">
        <v>22.5</v>
      </c>
      <c r="Q44" s="62">
        <f t="shared" ref="Q44" si="48">N44*O44*4379/1000</f>
        <v>2627.4</v>
      </c>
      <c r="R44" s="98">
        <f t="shared" ref="R44" si="49">N44*P44*4379/1000</f>
        <v>394.11</v>
      </c>
      <c r="S44" s="99">
        <f t="shared" ref="S44" si="50">Q44+R44</f>
        <v>3021.51</v>
      </c>
      <c r="T44" s="96"/>
      <c r="U44" s="97"/>
      <c r="V44" s="62"/>
      <c r="W44" s="62"/>
      <c r="X44" s="62"/>
      <c r="Y44" s="62"/>
      <c r="Z44" s="98"/>
      <c r="AA44" s="98"/>
      <c r="AB44" s="98"/>
      <c r="AC44" s="99"/>
      <c r="AD44" s="69"/>
      <c r="AE44" s="67"/>
      <c r="AF44" s="67"/>
      <c r="AG44" s="67"/>
      <c r="AH44" s="67"/>
      <c r="AI44" s="67"/>
      <c r="AJ44" s="62"/>
      <c r="AK44" s="98"/>
      <c r="AL44" s="98"/>
      <c r="AM44" s="99"/>
    </row>
    <row r="45" spans="1:39" s="101" customFormat="1" ht="15.5" customHeight="1" x14ac:dyDescent="0.35">
      <c r="A45" s="489">
        <v>6</v>
      </c>
      <c r="B45" s="489" t="s">
        <v>313</v>
      </c>
      <c r="C45" s="67"/>
      <c r="D45" s="96">
        <v>15</v>
      </c>
      <c r="E45" s="67" t="s">
        <v>290</v>
      </c>
      <c r="F45" s="62">
        <v>2</v>
      </c>
      <c r="G45" s="62">
        <v>72</v>
      </c>
      <c r="H45" s="62">
        <v>11.5</v>
      </c>
      <c r="I45" s="62">
        <f t="shared" si="2"/>
        <v>630.57600000000002</v>
      </c>
      <c r="J45" s="98">
        <f t="shared" si="3"/>
        <v>100.717</v>
      </c>
      <c r="K45" s="99">
        <f t="shared" si="4"/>
        <v>731.29300000000001</v>
      </c>
      <c r="L45" s="96">
        <v>17</v>
      </c>
      <c r="M45" s="67" t="s">
        <v>290</v>
      </c>
      <c r="N45" s="62">
        <v>10</v>
      </c>
      <c r="O45" s="62">
        <f t="shared" si="27"/>
        <v>72</v>
      </c>
      <c r="P45" s="62">
        <f t="shared" si="28"/>
        <v>11.5</v>
      </c>
      <c r="Q45" s="62">
        <f t="shared" si="29"/>
        <v>3152.88</v>
      </c>
      <c r="R45" s="98">
        <f t="shared" si="30"/>
        <v>503.58499999999998</v>
      </c>
      <c r="S45" s="99">
        <f t="shared" si="31"/>
        <v>3656.4650000000001</v>
      </c>
      <c r="T45" s="96">
        <v>17</v>
      </c>
      <c r="U45" s="97" t="s">
        <v>15</v>
      </c>
      <c r="V45" s="62">
        <v>17</v>
      </c>
      <c r="W45" s="62">
        <v>40</v>
      </c>
      <c r="X45" s="62">
        <v>0</v>
      </c>
      <c r="Y45" s="62">
        <v>2</v>
      </c>
      <c r="Z45" s="98">
        <f t="shared" si="32"/>
        <v>2679.88</v>
      </c>
      <c r="AA45" s="98">
        <f t="shared" si="33"/>
        <v>297.83999999999997</v>
      </c>
      <c r="AB45" s="98">
        <f t="shared" si="34"/>
        <v>0</v>
      </c>
      <c r="AC45" s="99">
        <f t="shared" si="35"/>
        <v>2977.7200000000003</v>
      </c>
      <c r="AD45" s="69">
        <v>17</v>
      </c>
      <c r="AE45" s="67" t="s">
        <v>17</v>
      </c>
      <c r="AF45" s="67">
        <v>17</v>
      </c>
      <c r="AG45" s="67">
        <v>70</v>
      </c>
      <c r="AH45" s="67">
        <v>10.5</v>
      </c>
      <c r="AI45" s="67">
        <v>2</v>
      </c>
      <c r="AJ45" s="62">
        <f t="shared" si="14"/>
        <v>4689.79</v>
      </c>
      <c r="AK45" s="98">
        <f t="shared" si="15"/>
        <v>297.83999999999997</v>
      </c>
      <c r="AL45" s="98">
        <f t="shared" si="16"/>
        <v>781.65150000000006</v>
      </c>
      <c r="AM45" s="99">
        <f t="shared" si="17"/>
        <v>5769.2815000000001</v>
      </c>
    </row>
    <row r="46" spans="1:39" s="101" customFormat="1" ht="15.5" customHeight="1" x14ac:dyDescent="0.35">
      <c r="A46" s="494"/>
      <c r="B46" s="494"/>
      <c r="C46" s="67"/>
      <c r="D46" s="96"/>
      <c r="E46" s="67" t="s">
        <v>291</v>
      </c>
      <c r="F46" s="62">
        <v>5</v>
      </c>
      <c r="G46" s="62">
        <v>125</v>
      </c>
      <c r="H46" s="62">
        <v>18</v>
      </c>
      <c r="I46" s="62">
        <f t="shared" si="2"/>
        <v>2736.875</v>
      </c>
      <c r="J46" s="98">
        <f t="shared" si="3"/>
        <v>394.11</v>
      </c>
      <c r="K46" s="99">
        <f t="shared" si="4"/>
        <v>3130.9850000000001</v>
      </c>
      <c r="L46" s="96"/>
      <c r="M46" s="67" t="s">
        <v>291</v>
      </c>
      <c r="N46" s="62">
        <v>5</v>
      </c>
      <c r="O46" s="62">
        <v>125</v>
      </c>
      <c r="P46" s="62">
        <v>18</v>
      </c>
      <c r="Q46" s="62"/>
      <c r="R46" s="98"/>
      <c r="S46" s="99"/>
      <c r="T46" s="96"/>
      <c r="U46" s="97"/>
      <c r="V46" s="62"/>
      <c r="W46" s="62"/>
      <c r="X46" s="62"/>
      <c r="Y46" s="62"/>
      <c r="Z46" s="98"/>
      <c r="AA46" s="98"/>
      <c r="AB46" s="98"/>
      <c r="AC46" s="99"/>
      <c r="AD46" s="69"/>
      <c r="AE46" s="67"/>
      <c r="AF46" s="67"/>
      <c r="AG46" s="67"/>
      <c r="AH46" s="67"/>
      <c r="AI46" s="67"/>
      <c r="AJ46" s="62"/>
      <c r="AK46" s="98"/>
      <c r="AL46" s="98"/>
      <c r="AM46" s="99"/>
    </row>
    <row r="47" spans="1:39" s="101" customFormat="1" ht="15.5" customHeight="1" x14ac:dyDescent="0.35">
      <c r="A47" s="490"/>
      <c r="B47" s="490"/>
      <c r="C47" s="67"/>
      <c r="D47" s="96"/>
      <c r="E47" s="67" t="s">
        <v>17</v>
      </c>
      <c r="F47" s="62">
        <v>2</v>
      </c>
      <c r="G47" s="62">
        <v>150</v>
      </c>
      <c r="H47" s="62">
        <v>22.5</v>
      </c>
      <c r="I47" s="62">
        <f t="shared" si="2"/>
        <v>1313.7</v>
      </c>
      <c r="J47" s="98">
        <f t="shared" si="3"/>
        <v>197.05500000000001</v>
      </c>
      <c r="K47" s="99">
        <f t="shared" si="4"/>
        <v>1510.7550000000001</v>
      </c>
      <c r="L47" s="96"/>
      <c r="M47" s="67" t="s">
        <v>17</v>
      </c>
      <c r="N47" s="62">
        <v>2</v>
      </c>
      <c r="O47" s="62">
        <v>150</v>
      </c>
      <c r="P47" s="62">
        <v>22.5</v>
      </c>
      <c r="Q47" s="62"/>
      <c r="R47" s="98"/>
      <c r="S47" s="99"/>
      <c r="T47" s="96"/>
      <c r="U47" s="97"/>
      <c r="V47" s="62"/>
      <c r="W47" s="62"/>
      <c r="X47" s="62"/>
      <c r="Y47" s="62"/>
      <c r="Z47" s="98"/>
      <c r="AA47" s="98"/>
      <c r="AB47" s="98"/>
      <c r="AC47" s="99"/>
      <c r="AD47" s="69"/>
      <c r="AE47" s="67"/>
      <c r="AF47" s="67"/>
      <c r="AG47" s="67"/>
      <c r="AH47" s="67"/>
      <c r="AI47" s="67"/>
      <c r="AJ47" s="62"/>
      <c r="AK47" s="98"/>
      <c r="AL47" s="98"/>
      <c r="AM47" s="99"/>
    </row>
    <row r="48" spans="1:39" s="101" customFormat="1" ht="15.5" x14ac:dyDescent="0.35">
      <c r="A48" s="307">
        <v>7</v>
      </c>
      <c r="B48" s="307" t="s">
        <v>314</v>
      </c>
      <c r="C48" s="67"/>
      <c r="D48" s="96">
        <v>5</v>
      </c>
      <c r="E48" s="67" t="s">
        <v>291</v>
      </c>
      <c r="F48" s="62">
        <v>2</v>
      </c>
      <c r="G48" s="62">
        <v>125</v>
      </c>
      <c r="H48" s="62">
        <v>18</v>
      </c>
      <c r="I48" s="62">
        <f t="shared" si="2"/>
        <v>1094.75</v>
      </c>
      <c r="J48" s="98">
        <f t="shared" si="3"/>
        <v>157.64400000000001</v>
      </c>
      <c r="K48" s="99">
        <f t="shared" si="4"/>
        <v>1252.394</v>
      </c>
      <c r="L48" s="96">
        <f t="shared" si="26"/>
        <v>5</v>
      </c>
      <c r="M48" s="67" t="s">
        <v>291</v>
      </c>
      <c r="N48" s="62">
        <f t="shared" si="36"/>
        <v>5</v>
      </c>
      <c r="O48" s="62">
        <f t="shared" si="27"/>
        <v>125</v>
      </c>
      <c r="P48" s="62">
        <f t="shared" si="28"/>
        <v>18</v>
      </c>
      <c r="Q48" s="62">
        <f t="shared" si="29"/>
        <v>2736.875</v>
      </c>
      <c r="R48" s="98">
        <f t="shared" si="30"/>
        <v>394.11</v>
      </c>
      <c r="S48" s="99">
        <f t="shared" si="31"/>
        <v>3130.9850000000001</v>
      </c>
      <c r="T48" s="96">
        <f t="shared" si="20"/>
        <v>5</v>
      </c>
      <c r="U48" s="97" t="s">
        <v>15</v>
      </c>
      <c r="V48" s="62">
        <v>5</v>
      </c>
      <c r="W48" s="62">
        <v>40</v>
      </c>
      <c r="X48" s="62">
        <v>0</v>
      </c>
      <c r="Y48" s="62">
        <v>2</v>
      </c>
      <c r="Z48" s="98">
        <f t="shared" si="32"/>
        <v>788.2</v>
      </c>
      <c r="AA48" s="98">
        <f t="shared" si="33"/>
        <v>87.6</v>
      </c>
      <c r="AB48" s="98">
        <f t="shared" si="34"/>
        <v>0</v>
      </c>
      <c r="AC48" s="99">
        <f t="shared" si="35"/>
        <v>875.80000000000007</v>
      </c>
      <c r="AD48" s="69">
        <f t="shared" si="21"/>
        <v>5</v>
      </c>
      <c r="AE48" s="67" t="s">
        <v>17</v>
      </c>
      <c r="AF48" s="67">
        <v>5</v>
      </c>
      <c r="AG48" s="67">
        <v>70</v>
      </c>
      <c r="AH48" s="67">
        <v>10.5</v>
      </c>
      <c r="AI48" s="67">
        <v>2</v>
      </c>
      <c r="AJ48" s="62">
        <f t="shared" si="14"/>
        <v>1379.35</v>
      </c>
      <c r="AK48" s="98">
        <f t="shared" si="15"/>
        <v>87.6</v>
      </c>
      <c r="AL48" s="98">
        <f t="shared" si="16"/>
        <v>229.89750000000001</v>
      </c>
      <c r="AM48" s="99">
        <f t="shared" si="17"/>
        <v>1696.8474999999999</v>
      </c>
    </row>
    <row r="49" spans="1:40" s="101" customFormat="1" ht="14.5" customHeight="1" x14ac:dyDescent="0.35">
      <c r="A49" s="307">
        <v>8</v>
      </c>
      <c r="B49" s="307" t="s">
        <v>315</v>
      </c>
      <c r="C49" s="67"/>
      <c r="D49" s="294">
        <v>4</v>
      </c>
      <c r="E49" s="67" t="s">
        <v>291</v>
      </c>
      <c r="F49" s="62">
        <v>1</v>
      </c>
      <c r="G49" s="62">
        <v>125</v>
      </c>
      <c r="H49" s="62">
        <v>18</v>
      </c>
      <c r="I49" s="62">
        <f t="shared" si="2"/>
        <v>547.375</v>
      </c>
      <c r="J49" s="98">
        <f t="shared" si="3"/>
        <v>78.822000000000003</v>
      </c>
      <c r="K49" s="99">
        <f t="shared" si="4"/>
        <v>626.197</v>
      </c>
      <c r="L49" s="294">
        <f t="shared" si="26"/>
        <v>4</v>
      </c>
      <c r="M49" s="67" t="s">
        <v>291</v>
      </c>
      <c r="N49" s="62">
        <f t="shared" si="36"/>
        <v>4</v>
      </c>
      <c r="O49" s="62">
        <f t="shared" si="27"/>
        <v>125</v>
      </c>
      <c r="P49" s="62">
        <f t="shared" si="28"/>
        <v>18</v>
      </c>
      <c r="Q49" s="62">
        <f t="shared" si="29"/>
        <v>2189.5</v>
      </c>
      <c r="R49" s="98">
        <f t="shared" si="30"/>
        <v>315.28800000000001</v>
      </c>
      <c r="S49" s="99">
        <f t="shared" si="31"/>
        <v>2504.788</v>
      </c>
      <c r="T49" s="96">
        <f t="shared" si="20"/>
        <v>4</v>
      </c>
      <c r="U49" s="97" t="s">
        <v>15</v>
      </c>
      <c r="V49" s="62">
        <v>4</v>
      </c>
      <c r="W49" s="62">
        <v>40</v>
      </c>
      <c r="X49" s="62">
        <v>0</v>
      </c>
      <c r="Y49" s="62">
        <v>2</v>
      </c>
      <c r="Z49" s="98">
        <f t="shared" si="32"/>
        <v>630.55999999999995</v>
      </c>
      <c r="AA49" s="98">
        <f t="shared" si="33"/>
        <v>70.08</v>
      </c>
      <c r="AB49" s="98">
        <f t="shared" si="34"/>
        <v>0</v>
      </c>
      <c r="AC49" s="99">
        <f t="shared" si="35"/>
        <v>700.64</v>
      </c>
      <c r="AD49" s="69">
        <f t="shared" si="21"/>
        <v>4</v>
      </c>
      <c r="AE49" s="67" t="s">
        <v>17</v>
      </c>
      <c r="AF49" s="67">
        <v>4</v>
      </c>
      <c r="AG49" s="67">
        <v>70</v>
      </c>
      <c r="AH49" s="67">
        <v>10.5</v>
      </c>
      <c r="AI49" s="67">
        <v>2</v>
      </c>
      <c r="AJ49" s="62">
        <f t="shared" si="14"/>
        <v>1103.48</v>
      </c>
      <c r="AK49" s="98">
        <f t="shared" si="15"/>
        <v>70.08</v>
      </c>
      <c r="AL49" s="98">
        <f t="shared" si="16"/>
        <v>183.91800000000001</v>
      </c>
      <c r="AM49" s="99">
        <f t="shared" si="17"/>
        <v>1357.4780000000001</v>
      </c>
    </row>
    <row r="50" spans="1:40" s="101" customFormat="1" ht="15.5" x14ac:dyDescent="0.35">
      <c r="A50" s="307">
        <f>A49+1</f>
        <v>9</v>
      </c>
      <c r="B50" s="307" t="s">
        <v>316</v>
      </c>
      <c r="C50" s="67"/>
      <c r="D50" s="96">
        <v>3</v>
      </c>
      <c r="E50" s="67" t="s">
        <v>290</v>
      </c>
      <c r="F50" s="62">
        <v>1</v>
      </c>
      <c r="G50" s="62">
        <v>72</v>
      </c>
      <c r="H50" s="62">
        <v>11.5</v>
      </c>
      <c r="I50" s="62">
        <f t="shared" si="2"/>
        <v>315.28800000000001</v>
      </c>
      <c r="J50" s="98">
        <f t="shared" si="3"/>
        <v>50.358499999999999</v>
      </c>
      <c r="K50" s="99">
        <f t="shared" si="4"/>
        <v>365.6465</v>
      </c>
      <c r="L50" s="96">
        <f t="shared" si="26"/>
        <v>3</v>
      </c>
      <c r="M50" s="67" t="s">
        <v>290</v>
      </c>
      <c r="N50" s="62">
        <v>3</v>
      </c>
      <c r="O50" s="62">
        <f t="shared" si="27"/>
        <v>72</v>
      </c>
      <c r="P50" s="62">
        <f t="shared" si="28"/>
        <v>11.5</v>
      </c>
      <c r="Q50" s="62">
        <f t="shared" si="29"/>
        <v>945.86400000000003</v>
      </c>
      <c r="R50" s="98">
        <f t="shared" si="30"/>
        <v>151.07550000000001</v>
      </c>
      <c r="S50" s="99">
        <f t="shared" si="31"/>
        <v>1096.9395</v>
      </c>
      <c r="T50" s="96">
        <f t="shared" si="20"/>
        <v>3</v>
      </c>
      <c r="U50" s="97" t="s">
        <v>15</v>
      </c>
      <c r="V50" s="62">
        <v>3</v>
      </c>
      <c r="W50" s="62">
        <v>30</v>
      </c>
      <c r="X50" s="62">
        <v>0</v>
      </c>
      <c r="Y50" s="62">
        <v>2</v>
      </c>
      <c r="Z50" s="98">
        <f t="shared" si="32"/>
        <v>354.69</v>
      </c>
      <c r="AA50" s="98">
        <f t="shared" si="33"/>
        <v>52.56</v>
      </c>
      <c r="AB50" s="98">
        <f t="shared" si="34"/>
        <v>0</v>
      </c>
      <c r="AC50" s="99">
        <f t="shared" si="35"/>
        <v>407.25</v>
      </c>
      <c r="AD50" s="69">
        <f t="shared" si="21"/>
        <v>3</v>
      </c>
      <c r="AE50" s="67" t="s">
        <v>17</v>
      </c>
      <c r="AF50" s="67">
        <v>3</v>
      </c>
      <c r="AG50" s="67">
        <v>50</v>
      </c>
      <c r="AH50" s="67">
        <v>8</v>
      </c>
      <c r="AI50" s="67">
        <v>2</v>
      </c>
      <c r="AJ50" s="62">
        <f t="shared" si="14"/>
        <v>591.15</v>
      </c>
      <c r="AK50" s="98">
        <f t="shared" si="15"/>
        <v>52.56</v>
      </c>
      <c r="AL50" s="98">
        <f t="shared" si="16"/>
        <v>105.096</v>
      </c>
      <c r="AM50" s="99">
        <f t="shared" si="17"/>
        <v>748.80600000000004</v>
      </c>
    </row>
    <row r="51" spans="1:40" s="101" customFormat="1" ht="15.5" x14ac:dyDescent="0.35">
      <c r="A51" s="308">
        <v>10</v>
      </c>
      <c r="B51" s="308" t="s">
        <v>317</v>
      </c>
      <c r="C51" s="67"/>
      <c r="D51" s="96">
        <v>5</v>
      </c>
      <c r="E51" s="67" t="s">
        <v>17</v>
      </c>
      <c r="F51" s="62">
        <v>2</v>
      </c>
      <c r="G51" s="62">
        <v>150</v>
      </c>
      <c r="H51" s="62">
        <v>22.5</v>
      </c>
      <c r="I51" s="62">
        <f t="shared" si="2"/>
        <v>1313.7</v>
      </c>
      <c r="J51" s="98">
        <f t="shared" si="3"/>
        <v>197.05500000000001</v>
      </c>
      <c r="K51" s="99">
        <f t="shared" si="4"/>
        <v>1510.7550000000001</v>
      </c>
      <c r="L51" s="96">
        <v>11</v>
      </c>
      <c r="M51" s="67" t="s">
        <v>17</v>
      </c>
      <c r="N51" s="62">
        <v>11</v>
      </c>
      <c r="O51" s="62">
        <f t="shared" si="27"/>
        <v>150</v>
      </c>
      <c r="P51" s="62">
        <f t="shared" si="28"/>
        <v>22.5</v>
      </c>
      <c r="Q51" s="62">
        <f t="shared" si="29"/>
        <v>7225.35</v>
      </c>
      <c r="R51" s="98">
        <f t="shared" si="30"/>
        <v>1083.8025</v>
      </c>
      <c r="S51" s="99">
        <f t="shared" si="31"/>
        <v>8309.1525000000001</v>
      </c>
      <c r="T51" s="96">
        <v>11</v>
      </c>
      <c r="U51" s="97" t="s">
        <v>15</v>
      </c>
      <c r="V51" s="62">
        <v>11</v>
      </c>
      <c r="W51" s="62">
        <v>40</v>
      </c>
      <c r="X51" s="62">
        <v>0</v>
      </c>
      <c r="Y51" s="62">
        <v>2</v>
      </c>
      <c r="Z51" s="98">
        <f t="shared" si="32"/>
        <v>1734.04</v>
      </c>
      <c r="AA51" s="98">
        <f t="shared" si="33"/>
        <v>192.72</v>
      </c>
      <c r="AB51" s="98">
        <f t="shared" si="34"/>
        <v>0</v>
      </c>
      <c r="AC51" s="99">
        <f t="shared" si="35"/>
        <v>1926.76</v>
      </c>
      <c r="AD51" s="69">
        <v>11</v>
      </c>
      <c r="AE51" s="67" t="s">
        <v>17</v>
      </c>
      <c r="AF51" s="67">
        <v>11</v>
      </c>
      <c r="AG51" s="67">
        <v>70</v>
      </c>
      <c r="AH51" s="67">
        <v>10.5</v>
      </c>
      <c r="AI51" s="67">
        <v>2</v>
      </c>
      <c r="AJ51" s="62">
        <f t="shared" si="14"/>
        <v>3034.57</v>
      </c>
      <c r="AK51" s="98">
        <f t="shared" si="15"/>
        <v>192.72</v>
      </c>
      <c r="AL51" s="98">
        <f t="shared" si="16"/>
        <v>505.77449999999999</v>
      </c>
      <c r="AM51" s="99">
        <f t="shared" si="17"/>
        <v>3733.0645</v>
      </c>
    </row>
    <row r="52" spans="1:40" s="101" customFormat="1" ht="15.5" customHeight="1" x14ac:dyDescent="0.35">
      <c r="A52" s="489">
        <f t="shared" si="18"/>
        <v>11</v>
      </c>
      <c r="B52" s="489" t="s">
        <v>318</v>
      </c>
      <c r="C52" s="67"/>
      <c r="D52" s="96">
        <v>7</v>
      </c>
      <c r="E52" s="67" t="s">
        <v>290</v>
      </c>
      <c r="F52" s="62">
        <v>4</v>
      </c>
      <c r="G52" s="62">
        <v>72</v>
      </c>
      <c r="H52" s="62">
        <v>11.5</v>
      </c>
      <c r="I52" s="62">
        <f t="shared" si="2"/>
        <v>1261.152</v>
      </c>
      <c r="J52" s="98">
        <f t="shared" si="3"/>
        <v>201.434</v>
      </c>
      <c r="K52" s="99">
        <f t="shared" si="4"/>
        <v>1462.586</v>
      </c>
      <c r="L52" s="96">
        <f t="shared" si="26"/>
        <v>7</v>
      </c>
      <c r="M52" s="67" t="s">
        <v>290</v>
      </c>
      <c r="N52" s="62">
        <v>5</v>
      </c>
      <c r="O52" s="62">
        <f t="shared" si="27"/>
        <v>72</v>
      </c>
      <c r="P52" s="62">
        <f t="shared" si="28"/>
        <v>11.5</v>
      </c>
      <c r="Q52" s="62">
        <f t="shared" si="29"/>
        <v>1576.44</v>
      </c>
      <c r="R52" s="98">
        <f t="shared" si="30"/>
        <v>251.79249999999999</v>
      </c>
      <c r="S52" s="99">
        <f t="shared" si="31"/>
        <v>1828.2325000000001</v>
      </c>
      <c r="T52" s="96">
        <f t="shared" si="20"/>
        <v>7</v>
      </c>
      <c r="U52" s="97" t="s">
        <v>15</v>
      </c>
      <c r="V52" s="62">
        <v>7</v>
      </c>
      <c r="W52" s="62">
        <v>40</v>
      </c>
      <c r="X52" s="62">
        <v>0</v>
      </c>
      <c r="Y52" s="62">
        <v>2</v>
      </c>
      <c r="Z52" s="98">
        <f t="shared" si="32"/>
        <v>1103.48</v>
      </c>
      <c r="AA52" s="98">
        <f t="shared" si="33"/>
        <v>122.64</v>
      </c>
      <c r="AB52" s="98">
        <f t="shared" si="34"/>
        <v>0</v>
      </c>
      <c r="AC52" s="99">
        <f t="shared" si="35"/>
        <v>1226.1200000000001</v>
      </c>
      <c r="AD52" s="69">
        <f t="shared" si="21"/>
        <v>7</v>
      </c>
      <c r="AE52" s="67" t="s">
        <v>17</v>
      </c>
      <c r="AF52" s="67">
        <v>7</v>
      </c>
      <c r="AG52" s="67">
        <v>70</v>
      </c>
      <c r="AH52" s="67">
        <v>10.5</v>
      </c>
      <c r="AI52" s="67">
        <v>2</v>
      </c>
      <c r="AJ52" s="62">
        <f t="shared" si="14"/>
        <v>1931.09</v>
      </c>
      <c r="AK52" s="98">
        <f t="shared" si="15"/>
        <v>122.64</v>
      </c>
      <c r="AL52" s="98">
        <f t="shared" si="16"/>
        <v>321.85649999999998</v>
      </c>
      <c r="AM52" s="99">
        <f t="shared" si="17"/>
        <v>2375.5864999999999</v>
      </c>
    </row>
    <row r="53" spans="1:40" s="101" customFormat="1" ht="15.5" customHeight="1" x14ac:dyDescent="0.35">
      <c r="A53" s="490"/>
      <c r="B53" s="490"/>
      <c r="C53" s="67"/>
      <c r="D53" s="96"/>
      <c r="E53" s="67" t="s">
        <v>291</v>
      </c>
      <c r="F53" s="62">
        <v>2</v>
      </c>
      <c r="G53" s="62">
        <v>125</v>
      </c>
      <c r="H53" s="62">
        <v>18</v>
      </c>
      <c r="I53" s="62">
        <f t="shared" si="2"/>
        <v>1094.75</v>
      </c>
      <c r="J53" s="98">
        <f t="shared" si="3"/>
        <v>157.64400000000001</v>
      </c>
      <c r="K53" s="99">
        <f t="shared" si="4"/>
        <v>1252.394</v>
      </c>
      <c r="L53" s="96"/>
      <c r="M53" s="67" t="s">
        <v>291</v>
      </c>
      <c r="N53" s="62">
        <v>2</v>
      </c>
      <c r="O53" s="62">
        <f t="shared" si="27"/>
        <v>125</v>
      </c>
      <c r="P53" s="62">
        <f t="shared" si="28"/>
        <v>18</v>
      </c>
      <c r="Q53" s="62">
        <f t="shared" si="29"/>
        <v>1094.75</v>
      </c>
      <c r="R53" s="98">
        <f t="shared" si="30"/>
        <v>157.64400000000001</v>
      </c>
      <c r="S53" s="99">
        <f t="shared" si="31"/>
        <v>1252.394</v>
      </c>
      <c r="T53" s="96"/>
      <c r="U53" s="97"/>
      <c r="V53" s="62"/>
      <c r="W53" s="62"/>
      <c r="X53" s="62"/>
      <c r="Y53" s="62"/>
      <c r="Z53" s="98"/>
      <c r="AA53" s="98"/>
      <c r="AB53" s="98"/>
      <c r="AC53" s="99"/>
      <c r="AD53" s="69"/>
      <c r="AE53" s="67"/>
      <c r="AF53" s="67"/>
      <c r="AG53" s="67"/>
      <c r="AH53" s="67"/>
      <c r="AI53" s="67"/>
      <c r="AJ53" s="62"/>
      <c r="AK53" s="98"/>
      <c r="AL53" s="98"/>
      <c r="AM53" s="99"/>
    </row>
    <row r="54" spans="1:40" s="101" customFormat="1" ht="15.75" hidden="1" customHeight="1" thickBot="1" x14ac:dyDescent="0.4">
      <c r="A54" s="67" t="s">
        <v>122</v>
      </c>
      <c r="B54" s="64"/>
      <c r="C54" s="67"/>
      <c r="D54" s="103"/>
      <c r="E54" s="68"/>
      <c r="F54" s="105"/>
      <c r="G54" s="105"/>
      <c r="H54" s="105"/>
      <c r="I54" s="105"/>
      <c r="J54" s="106"/>
      <c r="K54" s="107"/>
      <c r="L54" s="103"/>
      <c r="M54" s="68"/>
      <c r="N54" s="105"/>
      <c r="O54" s="105"/>
      <c r="P54" s="105"/>
      <c r="Q54" s="105"/>
      <c r="R54" s="106"/>
      <c r="S54" s="107"/>
      <c r="T54" s="103"/>
      <c r="U54" s="104"/>
      <c r="V54" s="105"/>
      <c r="W54" s="105"/>
      <c r="X54" s="105"/>
      <c r="Y54" s="105"/>
      <c r="Z54" s="106"/>
      <c r="AA54" s="106"/>
      <c r="AB54" s="106"/>
      <c r="AC54" s="107"/>
      <c r="AD54" s="70"/>
      <c r="AE54" s="68"/>
      <c r="AF54" s="68"/>
      <c r="AG54" s="68"/>
      <c r="AH54" s="68"/>
      <c r="AI54" s="68"/>
      <c r="AJ54" s="105"/>
      <c r="AK54" s="106"/>
      <c r="AL54" s="106"/>
      <c r="AM54" s="107"/>
    </row>
    <row r="55" spans="1:40" s="101" customFormat="1" ht="15" thickBot="1" x14ac:dyDescent="0.4">
      <c r="A55" s="87"/>
      <c r="B55" s="88"/>
      <c r="C55" s="89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</row>
    <row r="56" spans="1:40" s="101" customFormat="1" ht="16" thickBot="1" x14ac:dyDescent="0.4">
      <c r="A56" s="87"/>
      <c r="B56" s="88"/>
      <c r="C56" s="89"/>
      <c r="D56" s="474" t="s">
        <v>69</v>
      </c>
      <c r="E56" s="473"/>
      <c r="F56" s="473"/>
      <c r="G56" s="473"/>
      <c r="H56" s="473"/>
      <c r="I56" s="309">
        <f>SUM(I7:I54)</f>
        <v>46610.076000000001</v>
      </c>
      <c r="J56" s="309">
        <f>SUM(J7:J54)</f>
        <v>6925.3885000000018</v>
      </c>
      <c r="K56" s="310">
        <f>SUM(K7:K54)</f>
        <v>53535.464500000002</v>
      </c>
      <c r="L56" s="474" t="s">
        <v>69</v>
      </c>
      <c r="M56" s="473"/>
      <c r="N56" s="473"/>
      <c r="O56" s="473"/>
      <c r="P56" s="473"/>
      <c r="Q56" s="309">
        <f>SUM(Q7:Q54)</f>
        <v>103213.03000000003</v>
      </c>
      <c r="R56" s="309">
        <f>SUM(R7:R54)</f>
        <v>15510.418000000001</v>
      </c>
      <c r="S56" s="311">
        <f>SUM(S7:S54)</f>
        <v>118723.44799999999</v>
      </c>
      <c r="T56" s="472" t="s">
        <v>69</v>
      </c>
      <c r="U56" s="473"/>
      <c r="V56" s="473"/>
      <c r="W56" s="473"/>
      <c r="X56" s="473"/>
      <c r="Y56" s="473"/>
      <c r="Z56" s="309">
        <f>SUM(Z7:Z54)</f>
        <v>33656.14</v>
      </c>
      <c r="AA56" s="309">
        <f>SUM(AA7:AA54)</f>
        <v>3994.5599999999986</v>
      </c>
      <c r="AB56" s="309">
        <f>SUM(AB7:AB54)</f>
        <v>0</v>
      </c>
      <c r="AC56" s="311">
        <f>SUM(AC7:AC54)</f>
        <v>37650.700000000004</v>
      </c>
      <c r="AD56" s="472" t="s">
        <v>69</v>
      </c>
      <c r="AE56" s="473"/>
      <c r="AF56" s="473"/>
      <c r="AG56" s="473"/>
      <c r="AH56" s="473"/>
      <c r="AI56" s="473"/>
      <c r="AJ56" s="312">
        <f>SUM(AJ7:AJ54)</f>
        <v>59666.74</v>
      </c>
      <c r="AK56" s="312">
        <f>SUM(AK7:AK54)</f>
        <v>3994.5599999999986</v>
      </c>
      <c r="AL56" s="312">
        <f>SUM(AL7:AL54)</f>
        <v>10008.204499999998</v>
      </c>
      <c r="AM56" s="313">
        <f>SUM(AM7:AM54)</f>
        <v>73669.504499999995</v>
      </c>
      <c r="AN56" s="314"/>
    </row>
    <row r="57" spans="1:40" s="101" customFormat="1" x14ac:dyDescent="0.35">
      <c r="A57" s="87"/>
      <c r="B57" s="88"/>
      <c r="C57" s="89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</row>
    <row r="59" spans="1:40" x14ac:dyDescent="0.35">
      <c r="D59" s="108"/>
    </row>
  </sheetData>
  <mergeCells count="55">
    <mergeCell ref="B45:B47"/>
    <mergeCell ref="A45:A47"/>
    <mergeCell ref="B52:B53"/>
    <mergeCell ref="A52:A53"/>
    <mergeCell ref="B38:B40"/>
    <mergeCell ref="A38:A40"/>
    <mergeCell ref="B41:B42"/>
    <mergeCell ref="A41:A42"/>
    <mergeCell ref="B43:B44"/>
    <mergeCell ref="A43:A44"/>
    <mergeCell ref="B32:B34"/>
    <mergeCell ref="C32:C34"/>
    <mergeCell ref="A32:A34"/>
    <mergeCell ref="D6:K6"/>
    <mergeCell ref="L6:S6"/>
    <mergeCell ref="B25:B26"/>
    <mergeCell ref="A25:A26"/>
    <mergeCell ref="C25:C26"/>
    <mergeCell ref="B28:B29"/>
    <mergeCell ref="A28:A29"/>
    <mergeCell ref="C28:C29"/>
    <mergeCell ref="B20:B22"/>
    <mergeCell ref="A20:A22"/>
    <mergeCell ref="C20:C22"/>
    <mergeCell ref="B23:B24"/>
    <mergeCell ref="A23:A24"/>
    <mergeCell ref="C23:C24"/>
    <mergeCell ref="B10:B11"/>
    <mergeCell ref="A10:A11"/>
    <mergeCell ref="B12:B13"/>
    <mergeCell ref="A12:A13"/>
    <mergeCell ref="C10:C11"/>
    <mergeCell ref="C12:C13"/>
    <mergeCell ref="B15:B16"/>
    <mergeCell ref="A15:A16"/>
    <mergeCell ref="C15:C16"/>
    <mergeCell ref="B17:B18"/>
    <mergeCell ref="A17:A18"/>
    <mergeCell ref="C17:C18"/>
    <mergeCell ref="D2:S2"/>
    <mergeCell ref="T2:AM2"/>
    <mergeCell ref="T56:Y56"/>
    <mergeCell ref="L56:P56"/>
    <mergeCell ref="AD56:AI56"/>
    <mergeCell ref="D4:K4"/>
    <mergeCell ref="L4:S4"/>
    <mergeCell ref="T4:AC4"/>
    <mergeCell ref="AD4:AM4"/>
    <mergeCell ref="T6:AC6"/>
    <mergeCell ref="AD6:AM6"/>
    <mergeCell ref="D35:K35"/>
    <mergeCell ref="D56:H56"/>
    <mergeCell ref="L35:S35"/>
    <mergeCell ref="T35:AC35"/>
    <mergeCell ref="AD35:AM35"/>
  </mergeCells>
  <pageMargins left="0.23622047244094491" right="0.23622047244094491" top="0.74803149606299213" bottom="0.74803149606299213" header="0.31496062992125984" footer="0.31496062992125984"/>
  <pageSetup paperSize="8" scale="8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7"/>
  <sheetViews>
    <sheetView zoomScale="85" zoomScaleNormal="85" workbookViewId="0">
      <selection activeCell="AA6" sqref="AA6"/>
    </sheetView>
  </sheetViews>
  <sheetFormatPr defaultRowHeight="14.5" x14ac:dyDescent="0.35"/>
  <cols>
    <col min="1" max="1" width="4.453125" style="315" customWidth="1"/>
    <col min="2" max="2" width="30.81640625" style="315" customWidth="1"/>
    <col min="3" max="3" width="7.7265625" style="315" hidden="1" customWidth="1"/>
    <col min="4" max="4" width="8.1796875" style="315" hidden="1" customWidth="1"/>
    <col min="5" max="5" width="6.1796875" style="315" hidden="1" customWidth="1"/>
    <col min="6" max="6" width="8" style="315" hidden="1" customWidth="1"/>
    <col min="7" max="7" width="8.54296875" style="315" hidden="1" customWidth="1"/>
    <col min="8" max="8" width="10.54296875" style="315" hidden="1" customWidth="1"/>
    <col min="9" max="9" width="18.54296875" style="315" hidden="1" customWidth="1"/>
    <col min="10" max="10" width="12.54296875" style="315" hidden="1" customWidth="1"/>
    <col min="11" max="11" width="7.81640625" style="315" hidden="1" customWidth="1"/>
    <col min="12" max="12" width="11.453125" style="317" hidden="1" customWidth="1"/>
    <col min="13" max="13" width="6.453125" style="315" hidden="1" customWidth="1"/>
    <col min="14" max="14" width="8.26953125" style="315" hidden="1" customWidth="1"/>
    <col min="15" max="15" width="8.81640625" style="315" hidden="1" customWidth="1"/>
    <col min="16" max="16" width="13.7265625" style="315" hidden="1" customWidth="1"/>
    <col min="17" max="17" width="18.54296875" style="315" hidden="1" customWidth="1"/>
    <col min="18" max="18" width="13" style="315" hidden="1" customWidth="1"/>
    <col min="19" max="19" width="8.1796875" style="315" customWidth="1"/>
    <col min="20" max="20" width="9" style="315" customWidth="1"/>
    <col min="21" max="21" width="6.1796875" style="315" customWidth="1"/>
    <col min="22" max="22" width="8.54296875" style="315" customWidth="1"/>
    <col min="23" max="23" width="9.54296875" style="315" customWidth="1"/>
    <col min="24" max="25" width="13.7265625" style="315" customWidth="1"/>
    <col min="26" max="26" width="12.81640625" style="315" customWidth="1"/>
    <col min="27" max="27" width="19" style="315" customWidth="1"/>
    <col min="28" max="28" width="14.1796875" style="315" customWidth="1"/>
    <col min="29" max="29" width="8.81640625" style="317" customWidth="1"/>
    <col min="30" max="30" width="8.54296875" style="317" customWidth="1"/>
    <col min="31" max="31" width="6.453125" style="317" customWidth="1"/>
    <col min="32" max="32" width="8.54296875" style="317" customWidth="1"/>
    <col min="33" max="33" width="9.26953125" style="317" customWidth="1"/>
    <col min="34" max="34" width="13" style="317" customWidth="1"/>
    <col min="35" max="35" width="14.453125" style="317" customWidth="1"/>
    <col min="36" max="36" width="14" style="317" customWidth="1"/>
    <col min="37" max="37" width="18.26953125" style="317" customWidth="1"/>
    <col min="38" max="38" width="15.81640625" style="317" customWidth="1"/>
    <col min="39" max="16384" width="8.7265625" style="315"/>
  </cols>
  <sheetData>
    <row r="1" spans="1:38" ht="15" thickBot="1" x14ac:dyDescent="0.4">
      <c r="B1" s="316"/>
      <c r="C1" s="317"/>
      <c r="D1" s="317"/>
      <c r="E1" s="317"/>
      <c r="F1" s="317"/>
      <c r="G1" s="317"/>
      <c r="H1" s="317"/>
      <c r="I1" s="317"/>
      <c r="J1" s="317"/>
      <c r="K1" s="317"/>
      <c r="M1" s="317"/>
      <c r="N1" s="317"/>
      <c r="O1" s="317"/>
      <c r="P1" s="317"/>
      <c r="Q1" s="317"/>
      <c r="R1" s="317"/>
      <c r="S1" s="317"/>
      <c r="T1" s="317"/>
      <c r="U1" s="317"/>
      <c r="V1" s="317"/>
      <c r="W1" s="317"/>
      <c r="X1" s="317"/>
      <c r="Y1" s="317"/>
      <c r="Z1" s="317"/>
      <c r="AA1" s="317"/>
      <c r="AB1" s="317"/>
    </row>
    <row r="2" spans="1:38" ht="21.5" thickBot="1" x14ac:dyDescent="0.55000000000000004">
      <c r="B2" s="316"/>
      <c r="C2" s="498" t="s">
        <v>324</v>
      </c>
      <c r="D2" s="499"/>
      <c r="E2" s="499"/>
      <c r="F2" s="499"/>
      <c r="G2" s="499"/>
      <c r="H2" s="499"/>
      <c r="I2" s="499"/>
      <c r="J2" s="499"/>
      <c r="K2" s="499"/>
      <c r="L2" s="499"/>
      <c r="M2" s="499"/>
      <c r="N2" s="499"/>
      <c r="O2" s="499"/>
      <c r="P2" s="499"/>
      <c r="Q2" s="499"/>
      <c r="R2" s="500"/>
      <c r="S2" s="498" t="s">
        <v>323</v>
      </c>
      <c r="T2" s="499"/>
      <c r="U2" s="499"/>
      <c r="V2" s="499"/>
      <c r="W2" s="499"/>
      <c r="X2" s="499"/>
      <c r="Y2" s="499"/>
      <c r="Z2" s="499"/>
      <c r="AA2" s="499"/>
      <c r="AB2" s="499"/>
      <c r="AC2" s="499"/>
      <c r="AD2" s="499"/>
      <c r="AE2" s="499"/>
      <c r="AF2" s="499"/>
      <c r="AG2" s="499"/>
      <c r="AH2" s="499"/>
      <c r="AI2" s="499"/>
      <c r="AJ2" s="499"/>
      <c r="AK2" s="499"/>
      <c r="AL2" s="500"/>
    </row>
    <row r="3" spans="1:38" ht="21.5" thickBot="1" x14ac:dyDescent="0.55000000000000004">
      <c r="B3" s="316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17"/>
      <c r="T3" s="317"/>
      <c r="U3" s="317"/>
      <c r="V3" s="317"/>
      <c r="W3" s="317"/>
      <c r="X3" s="317"/>
      <c r="Y3" s="317"/>
      <c r="Z3" s="317"/>
      <c r="AA3" s="317"/>
      <c r="AB3" s="317"/>
    </row>
    <row r="4" spans="1:38" s="331" customFormat="1" ht="18" customHeight="1" thickBot="1" x14ac:dyDescent="0.4">
      <c r="A4" s="306"/>
      <c r="B4" s="306"/>
      <c r="C4" s="501" t="s">
        <v>7</v>
      </c>
      <c r="D4" s="502"/>
      <c r="E4" s="502"/>
      <c r="F4" s="502"/>
      <c r="G4" s="502"/>
      <c r="H4" s="502"/>
      <c r="I4" s="502"/>
      <c r="J4" s="503"/>
      <c r="K4" s="501" t="s">
        <v>19</v>
      </c>
      <c r="L4" s="502"/>
      <c r="M4" s="502"/>
      <c r="N4" s="502"/>
      <c r="O4" s="502"/>
      <c r="P4" s="502"/>
      <c r="Q4" s="502"/>
      <c r="R4" s="503"/>
      <c r="S4" s="501" t="s">
        <v>93</v>
      </c>
      <c r="T4" s="502"/>
      <c r="U4" s="502"/>
      <c r="V4" s="502"/>
      <c r="W4" s="502"/>
      <c r="X4" s="502"/>
      <c r="Y4" s="502"/>
      <c r="Z4" s="502"/>
      <c r="AA4" s="504"/>
      <c r="AB4" s="503"/>
      <c r="AC4" s="479" t="s">
        <v>94</v>
      </c>
      <c r="AD4" s="480"/>
      <c r="AE4" s="480"/>
      <c r="AF4" s="480"/>
      <c r="AG4" s="480"/>
      <c r="AH4" s="480"/>
      <c r="AI4" s="480"/>
      <c r="AJ4" s="480"/>
      <c r="AK4" s="480"/>
      <c r="AL4" s="481"/>
    </row>
    <row r="5" spans="1:38" s="1" customFormat="1" ht="87.5" thickBot="1" x14ac:dyDescent="0.4">
      <c r="A5" s="318" t="s">
        <v>5</v>
      </c>
      <c r="B5" s="319" t="s">
        <v>0</v>
      </c>
      <c r="C5" s="318" t="s">
        <v>10</v>
      </c>
      <c r="D5" s="319" t="s">
        <v>8</v>
      </c>
      <c r="E5" s="319" t="s">
        <v>18</v>
      </c>
      <c r="F5" s="319" t="s">
        <v>12</v>
      </c>
      <c r="G5" s="319" t="s">
        <v>11</v>
      </c>
      <c r="H5" s="319" t="s">
        <v>78</v>
      </c>
      <c r="I5" s="319" t="s">
        <v>79</v>
      </c>
      <c r="J5" s="320" t="s">
        <v>14</v>
      </c>
      <c r="K5" s="318" t="s">
        <v>10</v>
      </c>
      <c r="L5" s="319" t="s">
        <v>8</v>
      </c>
      <c r="M5" s="319" t="s">
        <v>18</v>
      </c>
      <c r="N5" s="319" t="s">
        <v>13</v>
      </c>
      <c r="O5" s="319" t="s">
        <v>11</v>
      </c>
      <c r="P5" s="319" t="s">
        <v>78</v>
      </c>
      <c r="Q5" s="319" t="s">
        <v>79</v>
      </c>
      <c r="R5" s="321" t="s">
        <v>14</v>
      </c>
      <c r="S5" s="318" t="s">
        <v>10</v>
      </c>
      <c r="T5" s="319" t="s">
        <v>8</v>
      </c>
      <c r="U5" s="319" t="s">
        <v>18</v>
      </c>
      <c r="V5" s="319" t="s">
        <v>12</v>
      </c>
      <c r="W5" s="319" t="s">
        <v>11</v>
      </c>
      <c r="X5" s="319" t="s">
        <v>9</v>
      </c>
      <c r="Y5" s="319" t="s">
        <v>81</v>
      </c>
      <c r="Z5" s="319" t="s">
        <v>80</v>
      </c>
      <c r="AA5" s="321" t="s">
        <v>79</v>
      </c>
      <c r="AB5" s="320" t="s">
        <v>16</v>
      </c>
      <c r="AC5" s="319" t="s">
        <v>10</v>
      </c>
      <c r="AD5" s="319" t="s">
        <v>8</v>
      </c>
      <c r="AE5" s="319" t="s">
        <v>18</v>
      </c>
      <c r="AF5" s="319" t="s">
        <v>12</v>
      </c>
      <c r="AG5" s="319" t="s">
        <v>11</v>
      </c>
      <c r="AH5" s="319" t="s">
        <v>9</v>
      </c>
      <c r="AI5" s="319" t="s">
        <v>81</v>
      </c>
      <c r="AJ5" s="319" t="s">
        <v>80</v>
      </c>
      <c r="AK5" s="319" t="s">
        <v>79</v>
      </c>
      <c r="AL5" s="320" t="s">
        <v>16</v>
      </c>
    </row>
    <row r="6" spans="1:38" s="329" customFormat="1" x14ac:dyDescent="0.35">
      <c r="A6" s="337">
        <v>1</v>
      </c>
      <c r="B6" s="335" t="s">
        <v>306</v>
      </c>
      <c r="C6" s="58">
        <v>0</v>
      </c>
      <c r="D6" s="57"/>
      <c r="E6" s="59">
        <v>0</v>
      </c>
      <c r="F6" s="59">
        <v>0</v>
      </c>
      <c r="G6" s="59">
        <v>0</v>
      </c>
      <c r="H6" s="322"/>
      <c r="I6" s="323"/>
      <c r="J6" s="324"/>
      <c r="K6" s="325">
        <v>7</v>
      </c>
      <c r="L6" s="112" t="s">
        <v>17</v>
      </c>
      <c r="M6" s="326">
        <v>7</v>
      </c>
      <c r="N6" s="61">
        <v>50</v>
      </c>
      <c r="O6" s="61">
        <v>8</v>
      </c>
      <c r="P6" s="322">
        <f t="shared" ref="P6" si="0">M6*N6*4379/1000</f>
        <v>1532.65</v>
      </c>
      <c r="Q6" s="323">
        <f t="shared" ref="Q6" si="1">M6*O6*4379/1000</f>
        <v>245.22399999999999</v>
      </c>
      <c r="R6" s="327">
        <f t="shared" ref="R6" si="2">P6+Q6</f>
        <v>1777.874</v>
      </c>
      <c r="S6" s="63">
        <v>7</v>
      </c>
      <c r="T6" s="328" t="s">
        <v>15</v>
      </c>
      <c r="U6" s="63">
        <v>7</v>
      </c>
      <c r="V6" s="322">
        <v>30</v>
      </c>
      <c r="W6" s="322">
        <v>0</v>
      </c>
      <c r="X6" s="322">
        <v>2</v>
      </c>
      <c r="Y6" s="322">
        <f>(U6*V6*2919+U6*V6*0.7*1460)/1000</f>
        <v>827.61</v>
      </c>
      <c r="Z6" s="323">
        <f>U6*X6*8760/1000</f>
        <v>122.64</v>
      </c>
      <c r="AA6" s="327">
        <f>W6*U6*4379/1000</f>
        <v>0</v>
      </c>
      <c r="AB6" s="324">
        <v>0</v>
      </c>
      <c r="AC6" s="63">
        <f>S6</f>
        <v>7</v>
      </c>
      <c r="AD6" s="59" t="s">
        <v>17</v>
      </c>
      <c r="AE6" s="63">
        <f>U6</f>
        <v>7</v>
      </c>
      <c r="AF6" s="59">
        <v>50</v>
      </c>
      <c r="AG6" s="59">
        <v>8</v>
      </c>
      <c r="AH6" s="59">
        <v>2</v>
      </c>
      <c r="AI6" s="322">
        <f>(AE6*AF6*2919+AE6*AF6*0.7*1460)/1000</f>
        <v>1379.35</v>
      </c>
      <c r="AJ6" s="323">
        <f>AE6*AH6*8760/1000</f>
        <v>122.64</v>
      </c>
      <c r="AK6" s="327">
        <f>AG6*AE6*4379/1000</f>
        <v>245.22399999999999</v>
      </c>
      <c r="AL6" s="324">
        <v>0</v>
      </c>
    </row>
    <row r="7" spans="1:38" s="329" customFormat="1" ht="15" thickBot="1" x14ac:dyDescent="0.4">
      <c r="A7" s="337">
        <v>2</v>
      </c>
      <c r="B7" s="336" t="s">
        <v>309</v>
      </c>
      <c r="C7" s="116">
        <v>0</v>
      </c>
      <c r="D7" s="117"/>
      <c r="E7" s="118">
        <v>0</v>
      </c>
      <c r="F7" s="118">
        <v>0</v>
      </c>
      <c r="G7" s="118">
        <v>0</v>
      </c>
      <c r="H7" s="338"/>
      <c r="I7" s="339"/>
      <c r="J7" s="340"/>
      <c r="K7" s="325">
        <v>6</v>
      </c>
      <c r="L7" s="112" t="s">
        <v>17</v>
      </c>
      <c r="M7" s="326">
        <v>6</v>
      </c>
      <c r="N7" s="61">
        <v>50</v>
      </c>
      <c r="O7" s="61">
        <v>8</v>
      </c>
      <c r="P7" s="322">
        <f t="shared" ref="P7" si="3">M7*N7*4379/1000</f>
        <v>1313.7</v>
      </c>
      <c r="Q7" s="323">
        <f t="shared" ref="Q7" si="4">M7*O7*4379/1000</f>
        <v>210.19200000000001</v>
      </c>
      <c r="R7" s="327">
        <f t="shared" ref="R7" si="5">P7+Q7</f>
        <v>1523.8920000000001</v>
      </c>
      <c r="S7" s="63">
        <v>6</v>
      </c>
      <c r="T7" s="328" t="s">
        <v>15</v>
      </c>
      <c r="U7" s="63">
        <v>6</v>
      </c>
      <c r="V7" s="322">
        <v>40</v>
      </c>
      <c r="W7" s="322">
        <v>0</v>
      </c>
      <c r="X7" s="322">
        <v>2</v>
      </c>
      <c r="Y7" s="322">
        <f t="shared" ref="Y7" si="6">(U7*V7*2919+U7*V7*0.7*1460)/1000</f>
        <v>945.84</v>
      </c>
      <c r="Z7" s="323">
        <f t="shared" ref="Z7" si="7">U7*X7*8760/1000</f>
        <v>105.12</v>
      </c>
      <c r="AA7" s="327">
        <f t="shared" ref="AA7" si="8">W7*U7*4379/1000</f>
        <v>0</v>
      </c>
      <c r="AB7" s="324">
        <v>0</v>
      </c>
      <c r="AC7" s="63">
        <v>6</v>
      </c>
      <c r="AD7" s="59" t="s">
        <v>17</v>
      </c>
      <c r="AE7" s="63">
        <v>6</v>
      </c>
      <c r="AF7" s="59">
        <v>50</v>
      </c>
      <c r="AG7" s="59">
        <v>8</v>
      </c>
      <c r="AH7" s="59">
        <v>2</v>
      </c>
      <c r="AI7" s="322">
        <f t="shared" ref="AI7" si="9">(AE7*AF7*2919+AE7*AF7*0.7*1460)/1000</f>
        <v>1182.3</v>
      </c>
      <c r="AJ7" s="323">
        <f t="shared" ref="AJ7" si="10">AE7*AH7*8760/1000</f>
        <v>105.12</v>
      </c>
      <c r="AK7" s="327">
        <f t="shared" ref="AK7" si="11">AG7*AE7*4379/1000</f>
        <v>210.19200000000001</v>
      </c>
      <c r="AL7" s="324">
        <v>0</v>
      </c>
    </row>
    <row r="8" spans="1:38" s="334" customFormat="1" ht="16" thickBot="1" x14ac:dyDescent="0.4">
      <c r="A8" s="314"/>
      <c r="B8" s="332"/>
      <c r="C8" s="496" t="s">
        <v>69</v>
      </c>
      <c r="D8" s="497"/>
      <c r="E8" s="497"/>
      <c r="F8" s="497"/>
      <c r="G8" s="497"/>
      <c r="H8" s="333">
        <f>SUM(H6:H7)</f>
        <v>0</v>
      </c>
      <c r="I8" s="333">
        <f>SUM(I6:I7)</f>
        <v>0</v>
      </c>
      <c r="J8" s="333">
        <f>SUM(J6:J7)</f>
        <v>0</v>
      </c>
      <c r="K8" s="474" t="s">
        <v>69</v>
      </c>
      <c r="L8" s="473"/>
      <c r="M8" s="473"/>
      <c r="N8" s="473"/>
      <c r="O8" s="473"/>
      <c r="P8" s="309">
        <f>SUM(P6:P7)</f>
        <v>2846.3500000000004</v>
      </c>
      <c r="Q8" s="309">
        <f>SUM(Q6:Q7)</f>
        <v>455.416</v>
      </c>
      <c r="R8" s="309">
        <f>SUM(R6:R7)</f>
        <v>3301.7660000000001</v>
      </c>
      <c r="S8" s="474" t="s">
        <v>69</v>
      </c>
      <c r="T8" s="473"/>
      <c r="U8" s="473"/>
      <c r="V8" s="473"/>
      <c r="W8" s="473"/>
      <c r="X8" s="473"/>
      <c r="Y8" s="309">
        <f>SUM(Y6:Y7)</f>
        <v>1773.45</v>
      </c>
      <c r="Z8" s="309">
        <f>SUM(Z6:Z7)</f>
        <v>227.76</v>
      </c>
      <c r="AA8" s="309">
        <f>SUM(AA6:AA7)</f>
        <v>0</v>
      </c>
      <c r="AB8" s="309">
        <f>SUM(AB6:AB7)</f>
        <v>0</v>
      </c>
      <c r="AC8" s="474" t="s">
        <v>69</v>
      </c>
      <c r="AD8" s="473"/>
      <c r="AE8" s="473"/>
      <c r="AF8" s="473"/>
      <c r="AG8" s="473"/>
      <c r="AH8" s="473"/>
      <c r="AI8" s="312">
        <f>SUM(AI6:AI7)</f>
        <v>2561.6499999999996</v>
      </c>
      <c r="AJ8" s="312">
        <f>SUM(AJ6:AJ7)</f>
        <v>227.76</v>
      </c>
      <c r="AK8" s="312">
        <f>SUM(AK6:AK7)</f>
        <v>455.416</v>
      </c>
      <c r="AL8" s="312">
        <f>SUM(AL6:AL7)</f>
        <v>0</v>
      </c>
    </row>
    <row r="17" spans="19:19" x14ac:dyDescent="0.35">
      <c r="S17" s="315">
        <f>1480+294</f>
        <v>1774</v>
      </c>
    </row>
  </sheetData>
  <mergeCells count="10">
    <mergeCell ref="C8:G8"/>
    <mergeCell ref="C2:R2"/>
    <mergeCell ref="S2:AL2"/>
    <mergeCell ref="K4:R4"/>
    <mergeCell ref="S4:AB4"/>
    <mergeCell ref="AC4:AL4"/>
    <mergeCell ref="K8:O8"/>
    <mergeCell ref="S8:X8"/>
    <mergeCell ref="AC8:AH8"/>
    <mergeCell ref="C4:J4"/>
  </mergeCells>
  <pageMargins left="0.25" right="0.25" top="0.75" bottom="0.75" header="0.3" footer="0.3"/>
  <pageSetup paperSize="8" scale="75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9"/>
  <sheetViews>
    <sheetView view="pageBreakPreview" zoomScaleNormal="100" zoomScaleSheetLayoutView="100" workbookViewId="0">
      <selection activeCell="G6" sqref="G6"/>
    </sheetView>
  </sheetViews>
  <sheetFormatPr defaultColWidth="9.1796875" defaultRowHeight="14.5" x14ac:dyDescent="0.35"/>
  <cols>
    <col min="1" max="1" width="9.1796875" style="2"/>
    <col min="2" max="2" width="23.54296875" style="2" customWidth="1"/>
    <col min="3" max="3" width="19.81640625" style="2" customWidth="1"/>
    <col min="4" max="4" width="5.54296875" style="2" bestFit="1" customWidth="1"/>
    <col min="5" max="5" width="5.453125" style="2" customWidth="1"/>
    <col min="6" max="8" width="9.1796875" style="2"/>
    <col min="9" max="9" width="10.453125" style="2" customWidth="1"/>
    <col min="10" max="16384" width="9.1796875" style="2"/>
  </cols>
  <sheetData>
    <row r="3" spans="1:15" ht="55.5" customHeight="1" x14ac:dyDescent="0.35">
      <c r="A3" s="507" t="s">
        <v>59</v>
      </c>
      <c r="B3" s="507" t="s">
        <v>126</v>
      </c>
      <c r="C3" s="507" t="s">
        <v>61</v>
      </c>
      <c r="D3" s="509" t="s">
        <v>62</v>
      </c>
      <c r="E3" s="510"/>
      <c r="F3" s="72" t="s">
        <v>64</v>
      </c>
      <c r="G3" s="72" t="s">
        <v>65</v>
      </c>
      <c r="H3" s="72" t="s">
        <v>66</v>
      </c>
      <c r="I3" s="72" t="s">
        <v>67</v>
      </c>
      <c r="J3" s="72" t="s">
        <v>68</v>
      </c>
      <c r="K3" s="77"/>
      <c r="L3" s="77"/>
    </row>
    <row r="4" spans="1:15" ht="15" customHeight="1" x14ac:dyDescent="0.35">
      <c r="A4" s="508"/>
      <c r="B4" s="508"/>
      <c r="C4" s="508"/>
      <c r="D4" s="511"/>
      <c r="E4" s="512"/>
      <c r="F4" s="72" t="s">
        <v>57</v>
      </c>
      <c r="G4" s="72" t="s">
        <v>57</v>
      </c>
      <c r="H4" s="72" t="s">
        <v>57</v>
      </c>
      <c r="I4" s="72" t="s">
        <v>63</v>
      </c>
      <c r="J4" s="72" t="s">
        <v>41</v>
      </c>
      <c r="K4" s="77"/>
      <c r="L4" s="77"/>
    </row>
    <row r="5" spans="1:15" ht="31" x14ac:dyDescent="0.35">
      <c r="A5" s="73">
        <v>1</v>
      </c>
      <c r="B5" s="300" t="s">
        <v>283</v>
      </c>
      <c r="C5" s="418" t="s">
        <v>58</v>
      </c>
      <c r="D5" s="74">
        <v>37</v>
      </c>
      <c r="E5" s="73" t="s">
        <v>55</v>
      </c>
      <c r="F5" s="74">
        <v>125</v>
      </c>
      <c r="G5" s="73">
        <f>F5+22.5</f>
        <v>147.5</v>
      </c>
      <c r="H5" s="73">
        <f>D5*G5</f>
        <v>5457.5</v>
      </c>
      <c r="I5" s="75">
        <f>H5*4379/1000000</f>
        <v>23.8983925</v>
      </c>
      <c r="J5" s="114">
        <f>(I5)/I9</f>
        <v>0.43981947858322923</v>
      </c>
      <c r="K5" s="78"/>
      <c r="L5" s="78"/>
    </row>
    <row r="6" spans="1:15" ht="31" x14ac:dyDescent="0.35">
      <c r="A6" s="73">
        <v>2</v>
      </c>
      <c r="B6" s="300" t="s">
        <v>284</v>
      </c>
      <c r="C6" s="418" t="s">
        <v>119</v>
      </c>
      <c r="D6" s="299">
        <v>20</v>
      </c>
      <c r="E6" s="73" t="s">
        <v>55</v>
      </c>
      <c r="F6" s="299">
        <v>72</v>
      </c>
      <c r="G6" s="73">
        <f>F6+22.5</f>
        <v>94.5</v>
      </c>
      <c r="H6" s="73">
        <f>D6*G6</f>
        <v>1890</v>
      </c>
      <c r="I6" s="75">
        <f>H6*4379/1000000</f>
        <v>8.2763100000000005</v>
      </c>
      <c r="J6" s="298">
        <f>(I6)/I9</f>
        <v>0.15231494540033044</v>
      </c>
      <c r="K6" s="78"/>
      <c r="L6" s="78"/>
    </row>
    <row r="7" spans="1:15" ht="15.5" x14ac:dyDescent="0.35">
      <c r="A7" s="73">
        <v>3</v>
      </c>
      <c r="B7" s="513" t="s">
        <v>125</v>
      </c>
      <c r="C7" s="418" t="s">
        <v>58</v>
      </c>
      <c r="D7" s="83">
        <v>6</v>
      </c>
      <c r="E7" s="73" t="s">
        <v>55</v>
      </c>
      <c r="F7" s="74">
        <v>70</v>
      </c>
      <c r="G7" s="73">
        <f>F7+26</f>
        <v>96</v>
      </c>
      <c r="H7" s="73">
        <f t="shared" ref="H7:H8" si="0">D7*G7</f>
        <v>576</v>
      </c>
      <c r="I7" s="75">
        <f t="shared" ref="I7:I8" si="1">H7*4379/1000000</f>
        <v>2.5223040000000001</v>
      </c>
      <c r="J7" s="505">
        <f>SUM(I7:I8)/I9</f>
        <v>0.4078655760164403</v>
      </c>
      <c r="K7" s="78"/>
      <c r="L7" s="78"/>
    </row>
    <row r="8" spans="1:15" ht="15.5" x14ac:dyDescent="0.35">
      <c r="A8" s="73">
        <v>4</v>
      </c>
      <c r="B8" s="513"/>
      <c r="C8" s="418" t="s">
        <v>58</v>
      </c>
      <c r="D8" s="74">
        <f>32-6</f>
        <v>26</v>
      </c>
      <c r="E8" s="73" t="s">
        <v>55</v>
      </c>
      <c r="F8" s="74">
        <v>150</v>
      </c>
      <c r="G8" s="73">
        <f>F8+22.5</f>
        <v>172.5</v>
      </c>
      <c r="H8" s="73">
        <f t="shared" si="0"/>
        <v>4485</v>
      </c>
      <c r="I8" s="75">
        <f t="shared" si="1"/>
        <v>19.639814999999999</v>
      </c>
      <c r="J8" s="505"/>
      <c r="K8" s="78"/>
      <c r="L8" s="78"/>
    </row>
    <row r="9" spans="1:15" x14ac:dyDescent="0.35">
      <c r="A9" s="506" t="s">
        <v>69</v>
      </c>
      <c r="B9" s="506"/>
      <c r="C9" s="506"/>
      <c r="D9" s="72">
        <f>SUM(D5:D8)</f>
        <v>89</v>
      </c>
      <c r="E9" s="72" t="s">
        <v>55</v>
      </c>
      <c r="F9" s="72"/>
      <c r="G9" s="72"/>
      <c r="H9" s="72">
        <f>SUM(H5:H8)</f>
        <v>12408.5</v>
      </c>
      <c r="I9" s="76">
        <f>H9*4379/1000000</f>
        <v>54.336821499999999</v>
      </c>
      <c r="J9" s="72"/>
      <c r="O9" s="2">
        <v>91</v>
      </c>
    </row>
  </sheetData>
  <mergeCells count="7">
    <mergeCell ref="J7:J8"/>
    <mergeCell ref="A9:C9"/>
    <mergeCell ref="A3:A4"/>
    <mergeCell ref="B3:B4"/>
    <mergeCell ref="C3:C4"/>
    <mergeCell ref="D3:E4"/>
    <mergeCell ref="B7:B8"/>
  </mergeCells>
  <pageMargins left="0.7" right="0.7" top="0.75" bottom="0.75" header="0.3" footer="0.3"/>
  <pageSetup scale="88" orientation="portrait" r:id="rId1"/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2"/>
  <sheetViews>
    <sheetView topLeftCell="A2" workbookViewId="0">
      <selection activeCell="A3" sqref="A3:F10"/>
    </sheetView>
  </sheetViews>
  <sheetFormatPr defaultColWidth="9.1796875" defaultRowHeight="14.5" x14ac:dyDescent="0.35"/>
  <cols>
    <col min="1" max="1" width="9.1796875" style="2"/>
    <col min="2" max="2" width="15.26953125" style="2" customWidth="1"/>
    <col min="3" max="3" width="19.81640625" style="2" customWidth="1"/>
    <col min="4" max="4" width="5.54296875" style="2" bestFit="1" customWidth="1"/>
    <col min="5" max="5" width="5.453125" style="2" customWidth="1"/>
    <col min="6" max="6" width="9.1796875" style="2"/>
    <col min="7" max="7" width="17.453125" style="2" customWidth="1"/>
    <col min="8" max="8" width="9.1796875" style="2"/>
    <col min="9" max="9" width="10.453125" style="2" customWidth="1"/>
    <col min="10" max="16384" width="9.1796875" style="2"/>
  </cols>
  <sheetData>
    <row r="3" spans="1:11" s="71" customFormat="1" ht="58" x14ac:dyDescent="0.35">
      <c r="A3" s="507" t="s">
        <v>59</v>
      </c>
      <c r="B3" s="507" t="s">
        <v>60</v>
      </c>
      <c r="C3" s="507" t="s">
        <v>61</v>
      </c>
      <c r="D3" s="509" t="s">
        <v>62</v>
      </c>
      <c r="E3" s="510"/>
      <c r="F3" s="72" t="s">
        <v>64</v>
      </c>
      <c r="G3" s="72" t="s">
        <v>121</v>
      </c>
      <c r="H3" s="72" t="s">
        <v>66</v>
      </c>
      <c r="I3" s="72" t="s">
        <v>67</v>
      </c>
      <c r="J3" s="79"/>
      <c r="K3" s="79"/>
    </row>
    <row r="4" spans="1:11" ht="15" customHeight="1" x14ac:dyDescent="0.35">
      <c r="A4" s="508"/>
      <c r="B4" s="508"/>
      <c r="C4" s="508"/>
      <c r="D4" s="511"/>
      <c r="E4" s="512"/>
      <c r="F4" s="72" t="s">
        <v>57</v>
      </c>
      <c r="G4" s="72" t="s">
        <v>57</v>
      </c>
      <c r="H4" s="72" t="s">
        <v>57</v>
      </c>
      <c r="I4" s="72" t="s">
        <v>63</v>
      </c>
      <c r="J4" s="77"/>
      <c r="K4" s="77"/>
    </row>
    <row r="5" spans="1:11" s="126" customFormat="1" ht="15" customHeight="1" x14ac:dyDescent="0.35">
      <c r="A5" s="121">
        <v>1</v>
      </c>
      <c r="B5" s="517" t="s">
        <v>56</v>
      </c>
      <c r="C5" s="121" t="s">
        <v>329</v>
      </c>
      <c r="D5" s="368">
        <f>'lot 4'!V7+'lot 4'!V8+'lot 4'!V12+'lot 4'!V14+'lot 4'!V19+'lot 4'!V20+'lot 4'!V23+'lot 4'!V27+'lot 4'!V28+'lot 4'!V30+'lot 4'!V36+'lot 4'!V50</f>
        <v>82</v>
      </c>
      <c r="E5" s="122" t="s">
        <v>55</v>
      </c>
      <c r="F5" s="123">
        <v>30</v>
      </c>
      <c r="G5" s="123">
        <v>32</v>
      </c>
      <c r="H5" s="123">
        <f>D5*G5</f>
        <v>2624</v>
      </c>
      <c r="I5" s="124">
        <f t="shared" ref="I5:I7" si="0">H5*4379/1000000</f>
        <v>11.490496</v>
      </c>
      <c r="J5" s="127"/>
      <c r="K5" s="125"/>
    </row>
    <row r="6" spans="1:11" ht="15.5" x14ac:dyDescent="0.35">
      <c r="A6" s="73">
        <f>A5+1</f>
        <v>2</v>
      </c>
      <c r="B6" s="515"/>
      <c r="C6" s="74" t="s">
        <v>124</v>
      </c>
      <c r="D6" s="120">
        <f>'lot 4'!V9+'lot 4'!V15+'lot 4'!V17+'lot 4'!V31+'lot 4'!V32+'lot 4'!V37+'lot 4'!V38+'lot 4'!V41+'lot 4'!V43+'lot 4'!V45+'lot 4'!V48+'lot 4'!V49+'lot 4'!V51+'lot 4'!V52</f>
        <v>122</v>
      </c>
      <c r="E6" s="73" t="s">
        <v>55</v>
      </c>
      <c r="F6" s="74">
        <v>40</v>
      </c>
      <c r="G6" s="73">
        <f>F6+2</f>
        <v>42</v>
      </c>
      <c r="H6" s="73">
        <f>D6*G6</f>
        <v>5124</v>
      </c>
      <c r="I6" s="75">
        <f t="shared" si="0"/>
        <v>22.437995999999998</v>
      </c>
      <c r="J6" s="78"/>
      <c r="K6" s="78"/>
    </row>
    <row r="7" spans="1:11" ht="15.5" x14ac:dyDescent="0.35">
      <c r="A7" s="73">
        <f t="shared" ref="A7:A9" si="1">A6+1</f>
        <v>3</v>
      </c>
      <c r="B7" s="516"/>
      <c r="C7" s="74" t="s">
        <v>330</v>
      </c>
      <c r="D7" s="120">
        <f>'lot 4'!V10+'lot 4'!V25</f>
        <v>24</v>
      </c>
      <c r="E7" s="73" t="s">
        <v>55</v>
      </c>
      <c r="F7" s="74">
        <v>50</v>
      </c>
      <c r="G7" s="73">
        <f t="shared" ref="G7" si="2">F7+2</f>
        <v>52</v>
      </c>
      <c r="H7" s="73">
        <f t="shared" ref="H7" si="3">D7*G7</f>
        <v>1248</v>
      </c>
      <c r="I7" s="75">
        <f t="shared" si="0"/>
        <v>5.4649919999999996</v>
      </c>
      <c r="J7" s="78"/>
      <c r="K7" s="78"/>
    </row>
    <row r="8" spans="1:11" ht="18" customHeight="1" x14ac:dyDescent="0.35">
      <c r="A8" s="73">
        <f t="shared" si="1"/>
        <v>4</v>
      </c>
      <c r="B8" s="515" t="s">
        <v>437</v>
      </c>
      <c r="C8" s="419" t="s">
        <v>329</v>
      </c>
      <c r="D8" s="120">
        <v>7</v>
      </c>
      <c r="E8" s="73" t="s">
        <v>55</v>
      </c>
      <c r="F8" s="123">
        <v>30</v>
      </c>
      <c r="G8" s="123">
        <v>32</v>
      </c>
      <c r="H8" s="123">
        <f>D8*G8</f>
        <v>224</v>
      </c>
      <c r="I8" s="124">
        <f t="shared" ref="I8:I9" si="4">H8*4379/1000000</f>
        <v>0.98089599999999999</v>
      </c>
      <c r="J8" s="78"/>
      <c r="K8" s="78"/>
    </row>
    <row r="9" spans="1:11" ht="15.5" x14ac:dyDescent="0.35">
      <c r="A9" s="73">
        <f t="shared" si="1"/>
        <v>5</v>
      </c>
      <c r="B9" s="516"/>
      <c r="C9" s="419" t="s">
        <v>124</v>
      </c>
      <c r="D9" s="120">
        <v>6</v>
      </c>
      <c r="E9" s="73" t="s">
        <v>55</v>
      </c>
      <c r="F9" s="419">
        <v>40</v>
      </c>
      <c r="G9" s="73">
        <f>F9+2</f>
        <v>42</v>
      </c>
      <c r="H9" s="73">
        <f>D9*G9</f>
        <v>252</v>
      </c>
      <c r="I9" s="75">
        <f t="shared" si="4"/>
        <v>1.1035079999999999</v>
      </c>
      <c r="J9" s="78"/>
      <c r="K9" s="78"/>
    </row>
    <row r="10" spans="1:11" x14ac:dyDescent="0.35">
      <c r="A10" s="506" t="s">
        <v>69</v>
      </c>
      <c r="B10" s="506"/>
      <c r="C10" s="506"/>
      <c r="D10" s="420">
        <f>SUM(D5:D9)</f>
        <v>241</v>
      </c>
      <c r="E10" s="72" t="s">
        <v>55</v>
      </c>
      <c r="F10" s="72"/>
      <c r="G10" s="72"/>
      <c r="H10" s="72">
        <f>SUM(H5:H7)</f>
        <v>8996</v>
      </c>
      <c r="I10" s="76">
        <f>H10*4379/1000000</f>
        <v>39.393484000000001</v>
      </c>
    </row>
    <row r="11" spans="1:11" x14ac:dyDescent="0.35">
      <c r="B11" s="514"/>
      <c r="C11" s="514"/>
    </row>
    <row r="12" spans="1:11" ht="15.5" x14ac:dyDescent="0.35">
      <c r="D12" s="80"/>
      <c r="F12" s="81"/>
    </row>
  </sheetData>
  <mergeCells count="8">
    <mergeCell ref="B11:C11"/>
    <mergeCell ref="B8:B9"/>
    <mergeCell ref="D3:E4"/>
    <mergeCell ref="A10:C10"/>
    <mergeCell ref="A3:A4"/>
    <mergeCell ref="B3:B4"/>
    <mergeCell ref="C3:C4"/>
    <mergeCell ref="B5:B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"/>
  <sheetViews>
    <sheetView topLeftCell="A49" workbookViewId="0">
      <selection activeCell="A4" sqref="A4:E95"/>
    </sheetView>
  </sheetViews>
  <sheetFormatPr defaultRowHeight="12.5" x14ac:dyDescent="0.25"/>
  <cols>
    <col min="1" max="1" width="5.453125" style="136" customWidth="1"/>
    <col min="2" max="2" width="62.54296875" style="136" customWidth="1"/>
    <col min="3" max="3" width="15.26953125" style="136" customWidth="1"/>
    <col min="4" max="4" width="13.81640625" style="136" customWidth="1"/>
    <col min="5" max="5" width="13.7265625" style="136" customWidth="1"/>
    <col min="6" max="6" width="6" style="136" customWidth="1"/>
    <col min="7" max="22" width="8.7265625" style="136" customWidth="1"/>
    <col min="23" max="23" width="8.7265625" style="137" customWidth="1"/>
    <col min="24" max="43" width="8.7265625" style="136" customWidth="1"/>
    <col min="44" max="44" width="14.26953125" style="136" customWidth="1"/>
    <col min="45" max="221" width="9.1796875" style="136"/>
    <col min="222" max="222" width="5.453125" style="136" customWidth="1"/>
    <col min="223" max="223" width="52.453125" style="136" customWidth="1"/>
    <col min="224" max="228" width="15.7265625" style="136" customWidth="1"/>
    <col min="229" max="229" width="0.1796875" style="136" customWidth="1"/>
    <col min="230" max="477" width="9.1796875" style="136"/>
    <col min="478" max="478" width="5.453125" style="136" customWidth="1"/>
    <col min="479" max="479" width="52.453125" style="136" customWidth="1"/>
    <col min="480" max="484" width="15.7265625" style="136" customWidth="1"/>
    <col min="485" max="485" width="0.1796875" style="136" customWidth="1"/>
    <col min="486" max="733" width="9.1796875" style="136"/>
    <col min="734" max="734" width="5.453125" style="136" customWidth="1"/>
    <col min="735" max="735" width="52.453125" style="136" customWidth="1"/>
    <col min="736" max="740" width="15.7265625" style="136" customWidth="1"/>
    <col min="741" max="741" width="0.1796875" style="136" customWidth="1"/>
    <col min="742" max="989" width="9.1796875" style="136"/>
    <col min="990" max="990" width="5.453125" style="136" customWidth="1"/>
    <col min="991" max="991" width="52.453125" style="136" customWidth="1"/>
    <col min="992" max="996" width="15.7265625" style="136" customWidth="1"/>
    <col min="997" max="997" width="0.1796875" style="136" customWidth="1"/>
    <col min="998" max="1245" width="9.1796875" style="136"/>
    <col min="1246" max="1246" width="5.453125" style="136" customWidth="1"/>
    <col min="1247" max="1247" width="52.453125" style="136" customWidth="1"/>
    <col min="1248" max="1252" width="15.7265625" style="136" customWidth="1"/>
    <col min="1253" max="1253" width="0.1796875" style="136" customWidth="1"/>
    <col min="1254" max="1501" width="9.1796875" style="136"/>
    <col min="1502" max="1502" width="5.453125" style="136" customWidth="1"/>
    <col min="1503" max="1503" width="52.453125" style="136" customWidth="1"/>
    <col min="1504" max="1508" width="15.7265625" style="136" customWidth="1"/>
    <col min="1509" max="1509" width="0.1796875" style="136" customWidth="1"/>
    <col min="1510" max="1757" width="9.1796875" style="136"/>
    <col min="1758" max="1758" width="5.453125" style="136" customWidth="1"/>
    <col min="1759" max="1759" width="52.453125" style="136" customWidth="1"/>
    <col min="1760" max="1764" width="15.7265625" style="136" customWidth="1"/>
    <col min="1765" max="1765" width="0.1796875" style="136" customWidth="1"/>
    <col min="1766" max="2013" width="9.1796875" style="136"/>
    <col min="2014" max="2014" width="5.453125" style="136" customWidth="1"/>
    <col min="2015" max="2015" width="52.453125" style="136" customWidth="1"/>
    <col min="2016" max="2020" width="15.7265625" style="136" customWidth="1"/>
    <col min="2021" max="2021" width="0.1796875" style="136" customWidth="1"/>
    <col min="2022" max="2269" width="9.1796875" style="136"/>
    <col min="2270" max="2270" width="5.453125" style="136" customWidth="1"/>
    <col min="2271" max="2271" width="52.453125" style="136" customWidth="1"/>
    <col min="2272" max="2276" width="15.7265625" style="136" customWidth="1"/>
    <col min="2277" max="2277" width="0.1796875" style="136" customWidth="1"/>
    <col min="2278" max="2525" width="9.1796875" style="136"/>
    <col min="2526" max="2526" width="5.453125" style="136" customWidth="1"/>
    <col min="2527" max="2527" width="52.453125" style="136" customWidth="1"/>
    <col min="2528" max="2532" width="15.7265625" style="136" customWidth="1"/>
    <col min="2533" max="2533" width="0.1796875" style="136" customWidth="1"/>
    <col min="2534" max="2781" width="9.1796875" style="136"/>
    <col min="2782" max="2782" width="5.453125" style="136" customWidth="1"/>
    <col min="2783" max="2783" width="52.453125" style="136" customWidth="1"/>
    <col min="2784" max="2788" width="15.7265625" style="136" customWidth="1"/>
    <col min="2789" max="2789" width="0.1796875" style="136" customWidth="1"/>
    <col min="2790" max="3037" width="9.1796875" style="136"/>
    <col min="3038" max="3038" width="5.453125" style="136" customWidth="1"/>
    <col min="3039" max="3039" width="52.453125" style="136" customWidth="1"/>
    <col min="3040" max="3044" width="15.7265625" style="136" customWidth="1"/>
    <col min="3045" max="3045" width="0.1796875" style="136" customWidth="1"/>
    <col min="3046" max="3293" width="9.1796875" style="136"/>
    <col min="3294" max="3294" width="5.453125" style="136" customWidth="1"/>
    <col min="3295" max="3295" width="52.453125" style="136" customWidth="1"/>
    <col min="3296" max="3300" width="15.7265625" style="136" customWidth="1"/>
    <col min="3301" max="3301" width="0.1796875" style="136" customWidth="1"/>
    <col min="3302" max="3549" width="9.1796875" style="136"/>
    <col min="3550" max="3550" width="5.453125" style="136" customWidth="1"/>
    <col min="3551" max="3551" width="52.453125" style="136" customWidth="1"/>
    <col min="3552" max="3556" width="15.7265625" style="136" customWidth="1"/>
    <col min="3557" max="3557" width="0.1796875" style="136" customWidth="1"/>
    <col min="3558" max="3805" width="9.1796875" style="136"/>
    <col min="3806" max="3806" width="5.453125" style="136" customWidth="1"/>
    <col min="3807" max="3807" width="52.453125" style="136" customWidth="1"/>
    <col min="3808" max="3812" width="15.7265625" style="136" customWidth="1"/>
    <col min="3813" max="3813" width="0.1796875" style="136" customWidth="1"/>
    <col min="3814" max="4061" width="9.1796875" style="136"/>
    <col min="4062" max="4062" width="5.453125" style="136" customWidth="1"/>
    <col min="4063" max="4063" width="52.453125" style="136" customWidth="1"/>
    <col min="4064" max="4068" width="15.7265625" style="136" customWidth="1"/>
    <col min="4069" max="4069" width="0.1796875" style="136" customWidth="1"/>
    <col min="4070" max="4317" width="9.1796875" style="136"/>
    <col min="4318" max="4318" width="5.453125" style="136" customWidth="1"/>
    <col min="4319" max="4319" width="52.453125" style="136" customWidth="1"/>
    <col min="4320" max="4324" width="15.7265625" style="136" customWidth="1"/>
    <col min="4325" max="4325" width="0.1796875" style="136" customWidth="1"/>
    <col min="4326" max="4573" width="9.1796875" style="136"/>
    <col min="4574" max="4574" width="5.453125" style="136" customWidth="1"/>
    <col min="4575" max="4575" width="52.453125" style="136" customWidth="1"/>
    <col min="4576" max="4580" width="15.7265625" style="136" customWidth="1"/>
    <col min="4581" max="4581" width="0.1796875" style="136" customWidth="1"/>
    <col min="4582" max="4829" width="9.1796875" style="136"/>
    <col min="4830" max="4830" width="5.453125" style="136" customWidth="1"/>
    <col min="4831" max="4831" width="52.453125" style="136" customWidth="1"/>
    <col min="4832" max="4836" width="15.7265625" style="136" customWidth="1"/>
    <col min="4837" max="4837" width="0.1796875" style="136" customWidth="1"/>
    <col min="4838" max="5085" width="9.1796875" style="136"/>
    <col min="5086" max="5086" width="5.453125" style="136" customWidth="1"/>
    <col min="5087" max="5087" width="52.453125" style="136" customWidth="1"/>
    <col min="5088" max="5092" width="15.7265625" style="136" customWidth="1"/>
    <col min="5093" max="5093" width="0.1796875" style="136" customWidth="1"/>
    <col min="5094" max="5341" width="9.1796875" style="136"/>
    <col min="5342" max="5342" width="5.453125" style="136" customWidth="1"/>
    <col min="5343" max="5343" width="52.453125" style="136" customWidth="1"/>
    <col min="5344" max="5348" width="15.7265625" style="136" customWidth="1"/>
    <col min="5349" max="5349" width="0.1796875" style="136" customWidth="1"/>
    <col min="5350" max="5597" width="9.1796875" style="136"/>
    <col min="5598" max="5598" width="5.453125" style="136" customWidth="1"/>
    <col min="5599" max="5599" width="52.453125" style="136" customWidth="1"/>
    <col min="5600" max="5604" width="15.7265625" style="136" customWidth="1"/>
    <col min="5605" max="5605" width="0.1796875" style="136" customWidth="1"/>
    <col min="5606" max="5853" width="9.1796875" style="136"/>
    <col min="5854" max="5854" width="5.453125" style="136" customWidth="1"/>
    <col min="5855" max="5855" width="52.453125" style="136" customWidth="1"/>
    <col min="5856" max="5860" width="15.7265625" style="136" customWidth="1"/>
    <col min="5861" max="5861" width="0.1796875" style="136" customWidth="1"/>
    <col min="5862" max="6109" width="9.1796875" style="136"/>
    <col min="6110" max="6110" width="5.453125" style="136" customWidth="1"/>
    <col min="6111" max="6111" width="52.453125" style="136" customWidth="1"/>
    <col min="6112" max="6116" width="15.7265625" style="136" customWidth="1"/>
    <col min="6117" max="6117" width="0.1796875" style="136" customWidth="1"/>
    <col min="6118" max="6365" width="9.1796875" style="136"/>
    <col min="6366" max="6366" width="5.453125" style="136" customWidth="1"/>
    <col min="6367" max="6367" width="52.453125" style="136" customWidth="1"/>
    <col min="6368" max="6372" width="15.7265625" style="136" customWidth="1"/>
    <col min="6373" max="6373" width="0.1796875" style="136" customWidth="1"/>
    <col min="6374" max="6621" width="9.1796875" style="136"/>
    <col min="6622" max="6622" width="5.453125" style="136" customWidth="1"/>
    <col min="6623" max="6623" width="52.453125" style="136" customWidth="1"/>
    <col min="6624" max="6628" width="15.7265625" style="136" customWidth="1"/>
    <col min="6629" max="6629" width="0.1796875" style="136" customWidth="1"/>
    <col min="6630" max="6877" width="9.1796875" style="136"/>
    <col min="6878" max="6878" width="5.453125" style="136" customWidth="1"/>
    <col min="6879" max="6879" width="52.453125" style="136" customWidth="1"/>
    <col min="6880" max="6884" width="15.7265625" style="136" customWidth="1"/>
    <col min="6885" max="6885" width="0.1796875" style="136" customWidth="1"/>
    <col min="6886" max="7133" width="9.1796875" style="136"/>
    <col min="7134" max="7134" width="5.453125" style="136" customWidth="1"/>
    <col min="7135" max="7135" width="52.453125" style="136" customWidth="1"/>
    <col min="7136" max="7140" width="15.7265625" style="136" customWidth="1"/>
    <col min="7141" max="7141" width="0.1796875" style="136" customWidth="1"/>
    <col min="7142" max="7389" width="9.1796875" style="136"/>
    <col min="7390" max="7390" width="5.453125" style="136" customWidth="1"/>
    <col min="7391" max="7391" width="52.453125" style="136" customWidth="1"/>
    <col min="7392" max="7396" width="15.7265625" style="136" customWidth="1"/>
    <col min="7397" max="7397" width="0.1796875" style="136" customWidth="1"/>
    <col min="7398" max="7645" width="9.1796875" style="136"/>
    <col min="7646" max="7646" width="5.453125" style="136" customWidth="1"/>
    <col min="7647" max="7647" width="52.453125" style="136" customWidth="1"/>
    <col min="7648" max="7652" width="15.7265625" style="136" customWidth="1"/>
    <col min="7653" max="7653" width="0.1796875" style="136" customWidth="1"/>
    <col min="7654" max="7901" width="9.1796875" style="136"/>
    <col min="7902" max="7902" width="5.453125" style="136" customWidth="1"/>
    <col min="7903" max="7903" width="52.453125" style="136" customWidth="1"/>
    <col min="7904" max="7908" width="15.7265625" style="136" customWidth="1"/>
    <col min="7909" max="7909" width="0.1796875" style="136" customWidth="1"/>
    <col min="7910" max="8157" width="9.1796875" style="136"/>
    <col min="8158" max="8158" width="5.453125" style="136" customWidth="1"/>
    <col min="8159" max="8159" width="52.453125" style="136" customWidth="1"/>
    <col min="8160" max="8164" width="15.7265625" style="136" customWidth="1"/>
    <col min="8165" max="8165" width="0.1796875" style="136" customWidth="1"/>
    <col min="8166" max="8413" width="9.1796875" style="136"/>
    <col min="8414" max="8414" width="5.453125" style="136" customWidth="1"/>
    <col min="8415" max="8415" width="52.453125" style="136" customWidth="1"/>
    <col min="8416" max="8420" width="15.7265625" style="136" customWidth="1"/>
    <col min="8421" max="8421" width="0.1796875" style="136" customWidth="1"/>
    <col min="8422" max="8669" width="9.1796875" style="136"/>
    <col min="8670" max="8670" width="5.453125" style="136" customWidth="1"/>
    <col min="8671" max="8671" width="52.453125" style="136" customWidth="1"/>
    <col min="8672" max="8676" width="15.7265625" style="136" customWidth="1"/>
    <col min="8677" max="8677" width="0.1796875" style="136" customWidth="1"/>
    <col min="8678" max="8925" width="9.1796875" style="136"/>
    <col min="8926" max="8926" width="5.453125" style="136" customWidth="1"/>
    <col min="8927" max="8927" width="52.453125" style="136" customWidth="1"/>
    <col min="8928" max="8932" width="15.7265625" style="136" customWidth="1"/>
    <col min="8933" max="8933" width="0.1796875" style="136" customWidth="1"/>
    <col min="8934" max="9181" width="9.1796875" style="136"/>
    <col min="9182" max="9182" width="5.453125" style="136" customWidth="1"/>
    <col min="9183" max="9183" width="52.453125" style="136" customWidth="1"/>
    <col min="9184" max="9188" width="15.7265625" style="136" customWidth="1"/>
    <col min="9189" max="9189" width="0.1796875" style="136" customWidth="1"/>
    <col min="9190" max="9437" width="9.1796875" style="136"/>
    <col min="9438" max="9438" width="5.453125" style="136" customWidth="1"/>
    <col min="9439" max="9439" width="52.453125" style="136" customWidth="1"/>
    <col min="9440" max="9444" width="15.7265625" style="136" customWidth="1"/>
    <col min="9445" max="9445" width="0.1796875" style="136" customWidth="1"/>
    <col min="9446" max="9693" width="9.1796875" style="136"/>
    <col min="9694" max="9694" width="5.453125" style="136" customWidth="1"/>
    <col min="9695" max="9695" width="52.453125" style="136" customWidth="1"/>
    <col min="9696" max="9700" width="15.7265625" style="136" customWidth="1"/>
    <col min="9701" max="9701" width="0.1796875" style="136" customWidth="1"/>
    <col min="9702" max="9949" width="9.1796875" style="136"/>
    <col min="9950" max="9950" width="5.453125" style="136" customWidth="1"/>
    <col min="9951" max="9951" width="52.453125" style="136" customWidth="1"/>
    <col min="9952" max="9956" width="15.7265625" style="136" customWidth="1"/>
    <col min="9957" max="9957" width="0.1796875" style="136" customWidth="1"/>
    <col min="9958" max="10205" width="9.1796875" style="136"/>
    <col min="10206" max="10206" width="5.453125" style="136" customWidth="1"/>
    <col min="10207" max="10207" width="52.453125" style="136" customWidth="1"/>
    <col min="10208" max="10212" width="15.7265625" style="136" customWidth="1"/>
    <col min="10213" max="10213" width="0.1796875" style="136" customWidth="1"/>
    <col min="10214" max="10461" width="9.1796875" style="136"/>
    <col min="10462" max="10462" width="5.453125" style="136" customWidth="1"/>
    <col min="10463" max="10463" width="52.453125" style="136" customWidth="1"/>
    <col min="10464" max="10468" width="15.7265625" style="136" customWidth="1"/>
    <col min="10469" max="10469" width="0.1796875" style="136" customWidth="1"/>
    <col min="10470" max="10717" width="9.1796875" style="136"/>
    <col min="10718" max="10718" width="5.453125" style="136" customWidth="1"/>
    <col min="10719" max="10719" width="52.453125" style="136" customWidth="1"/>
    <col min="10720" max="10724" width="15.7265625" style="136" customWidth="1"/>
    <col min="10725" max="10725" width="0.1796875" style="136" customWidth="1"/>
    <col min="10726" max="10973" width="9.1796875" style="136"/>
    <col min="10974" max="10974" width="5.453125" style="136" customWidth="1"/>
    <col min="10975" max="10975" width="52.453125" style="136" customWidth="1"/>
    <col min="10976" max="10980" width="15.7265625" style="136" customWidth="1"/>
    <col min="10981" max="10981" width="0.1796875" style="136" customWidth="1"/>
    <col min="10982" max="11229" width="9.1796875" style="136"/>
    <col min="11230" max="11230" width="5.453125" style="136" customWidth="1"/>
    <col min="11231" max="11231" width="52.453125" style="136" customWidth="1"/>
    <col min="11232" max="11236" width="15.7265625" style="136" customWidth="1"/>
    <col min="11237" max="11237" width="0.1796875" style="136" customWidth="1"/>
    <col min="11238" max="11485" width="9.1796875" style="136"/>
    <col min="11486" max="11486" width="5.453125" style="136" customWidth="1"/>
    <col min="11487" max="11487" width="52.453125" style="136" customWidth="1"/>
    <col min="11488" max="11492" width="15.7265625" style="136" customWidth="1"/>
    <col min="11493" max="11493" width="0.1796875" style="136" customWidth="1"/>
    <col min="11494" max="11741" width="9.1796875" style="136"/>
    <col min="11742" max="11742" width="5.453125" style="136" customWidth="1"/>
    <col min="11743" max="11743" width="52.453125" style="136" customWidth="1"/>
    <col min="11744" max="11748" width="15.7265625" style="136" customWidth="1"/>
    <col min="11749" max="11749" width="0.1796875" style="136" customWidth="1"/>
    <col min="11750" max="11997" width="9.1796875" style="136"/>
    <col min="11998" max="11998" width="5.453125" style="136" customWidth="1"/>
    <col min="11999" max="11999" width="52.453125" style="136" customWidth="1"/>
    <col min="12000" max="12004" width="15.7265625" style="136" customWidth="1"/>
    <col min="12005" max="12005" width="0.1796875" style="136" customWidth="1"/>
    <col min="12006" max="12253" width="9.1796875" style="136"/>
    <col min="12254" max="12254" width="5.453125" style="136" customWidth="1"/>
    <col min="12255" max="12255" width="52.453125" style="136" customWidth="1"/>
    <col min="12256" max="12260" width="15.7265625" style="136" customWidth="1"/>
    <col min="12261" max="12261" width="0.1796875" style="136" customWidth="1"/>
    <col min="12262" max="12509" width="9.1796875" style="136"/>
    <col min="12510" max="12510" width="5.453125" style="136" customWidth="1"/>
    <col min="12511" max="12511" width="52.453125" style="136" customWidth="1"/>
    <col min="12512" max="12516" width="15.7265625" style="136" customWidth="1"/>
    <col min="12517" max="12517" width="0.1796875" style="136" customWidth="1"/>
    <col min="12518" max="12765" width="9.1796875" style="136"/>
    <col min="12766" max="12766" width="5.453125" style="136" customWidth="1"/>
    <col min="12767" max="12767" width="52.453125" style="136" customWidth="1"/>
    <col min="12768" max="12772" width="15.7265625" style="136" customWidth="1"/>
    <col min="12773" max="12773" width="0.1796875" style="136" customWidth="1"/>
    <col min="12774" max="13021" width="9.1796875" style="136"/>
    <col min="13022" max="13022" width="5.453125" style="136" customWidth="1"/>
    <col min="13023" max="13023" width="52.453125" style="136" customWidth="1"/>
    <col min="13024" max="13028" width="15.7265625" style="136" customWidth="1"/>
    <col min="13029" max="13029" width="0.1796875" style="136" customWidth="1"/>
    <col min="13030" max="13277" width="9.1796875" style="136"/>
    <col min="13278" max="13278" width="5.453125" style="136" customWidth="1"/>
    <col min="13279" max="13279" width="52.453125" style="136" customWidth="1"/>
    <col min="13280" max="13284" width="15.7265625" style="136" customWidth="1"/>
    <col min="13285" max="13285" width="0.1796875" style="136" customWidth="1"/>
    <col min="13286" max="13533" width="9.1796875" style="136"/>
    <col min="13534" max="13534" width="5.453125" style="136" customWidth="1"/>
    <col min="13535" max="13535" width="52.453125" style="136" customWidth="1"/>
    <col min="13536" max="13540" width="15.7265625" style="136" customWidth="1"/>
    <col min="13541" max="13541" width="0.1796875" style="136" customWidth="1"/>
    <col min="13542" max="13789" width="9.1796875" style="136"/>
    <col min="13790" max="13790" width="5.453125" style="136" customWidth="1"/>
    <col min="13791" max="13791" width="52.453125" style="136" customWidth="1"/>
    <col min="13792" max="13796" width="15.7265625" style="136" customWidth="1"/>
    <col min="13797" max="13797" width="0.1796875" style="136" customWidth="1"/>
    <col min="13798" max="14045" width="9.1796875" style="136"/>
    <col min="14046" max="14046" width="5.453125" style="136" customWidth="1"/>
    <col min="14047" max="14047" width="52.453125" style="136" customWidth="1"/>
    <col min="14048" max="14052" width="15.7265625" style="136" customWidth="1"/>
    <col min="14053" max="14053" width="0.1796875" style="136" customWidth="1"/>
    <col min="14054" max="14301" width="9.1796875" style="136"/>
    <col min="14302" max="14302" width="5.453125" style="136" customWidth="1"/>
    <col min="14303" max="14303" width="52.453125" style="136" customWidth="1"/>
    <col min="14304" max="14308" width="15.7265625" style="136" customWidth="1"/>
    <col min="14309" max="14309" width="0.1796875" style="136" customWidth="1"/>
    <col min="14310" max="14557" width="9.1796875" style="136"/>
    <col min="14558" max="14558" width="5.453125" style="136" customWidth="1"/>
    <col min="14559" max="14559" width="52.453125" style="136" customWidth="1"/>
    <col min="14560" max="14564" width="15.7265625" style="136" customWidth="1"/>
    <col min="14565" max="14565" width="0.1796875" style="136" customWidth="1"/>
    <col min="14566" max="14813" width="9.1796875" style="136"/>
    <col min="14814" max="14814" width="5.453125" style="136" customWidth="1"/>
    <col min="14815" max="14815" width="52.453125" style="136" customWidth="1"/>
    <col min="14816" max="14820" width="15.7265625" style="136" customWidth="1"/>
    <col min="14821" max="14821" width="0.1796875" style="136" customWidth="1"/>
    <col min="14822" max="15069" width="9.1796875" style="136"/>
    <col min="15070" max="15070" width="5.453125" style="136" customWidth="1"/>
    <col min="15071" max="15071" width="52.453125" style="136" customWidth="1"/>
    <col min="15072" max="15076" width="15.7265625" style="136" customWidth="1"/>
    <col min="15077" max="15077" width="0.1796875" style="136" customWidth="1"/>
    <col min="15078" max="15325" width="9.1796875" style="136"/>
    <col min="15326" max="15326" width="5.453125" style="136" customWidth="1"/>
    <col min="15327" max="15327" width="52.453125" style="136" customWidth="1"/>
    <col min="15328" max="15332" width="15.7265625" style="136" customWidth="1"/>
    <col min="15333" max="15333" width="0.1796875" style="136" customWidth="1"/>
    <col min="15334" max="15581" width="9.1796875" style="136"/>
    <col min="15582" max="15582" width="5.453125" style="136" customWidth="1"/>
    <col min="15583" max="15583" width="52.453125" style="136" customWidth="1"/>
    <col min="15584" max="15588" width="15.7265625" style="136" customWidth="1"/>
    <col min="15589" max="15589" width="0.1796875" style="136" customWidth="1"/>
    <col min="15590" max="15837" width="9.1796875" style="136"/>
    <col min="15838" max="15838" width="5.453125" style="136" customWidth="1"/>
    <col min="15839" max="15839" width="52.453125" style="136" customWidth="1"/>
    <col min="15840" max="15844" width="15.7265625" style="136" customWidth="1"/>
    <col min="15845" max="15845" width="0.1796875" style="136" customWidth="1"/>
    <col min="15846" max="16093" width="9.1796875" style="136"/>
    <col min="16094" max="16094" width="5.453125" style="136" customWidth="1"/>
    <col min="16095" max="16095" width="52.453125" style="136" customWidth="1"/>
    <col min="16096" max="16100" width="15.7265625" style="136" customWidth="1"/>
    <col min="16101" max="16101" width="0.1796875" style="136" customWidth="1"/>
    <col min="16102" max="16384" width="9.1796875" style="136"/>
  </cols>
  <sheetData>
    <row r="1" spans="1:43" s="128" customFormat="1" ht="14.25" customHeight="1" x14ac:dyDescent="0.25">
      <c r="B1" s="129"/>
      <c r="W1" s="130"/>
    </row>
    <row r="2" spans="1:43" s="128" customFormat="1" ht="13" x14ac:dyDescent="0.3">
      <c r="B2" s="131"/>
      <c r="C2" s="132"/>
      <c r="W2" s="130"/>
    </row>
    <row r="3" spans="1:43" s="128" customFormat="1" ht="17.25" customHeight="1" x14ac:dyDescent="0.3">
      <c r="B3" s="133"/>
      <c r="C3" s="132"/>
      <c r="W3" s="130"/>
    </row>
    <row r="4" spans="1:43" ht="15.5" x14ac:dyDescent="0.35">
      <c r="A4" s="134"/>
      <c r="B4" s="135"/>
      <c r="C4" s="134"/>
      <c r="D4" s="134"/>
      <c r="E4" s="134" t="s">
        <v>442</v>
      </c>
    </row>
    <row r="5" spans="1:43" ht="15" customHeight="1" x14ac:dyDescent="0.35">
      <c r="A5" s="138" t="s">
        <v>130</v>
      </c>
      <c r="B5" s="138"/>
      <c r="C5" s="139"/>
      <c r="D5" s="139"/>
      <c r="E5" s="139"/>
    </row>
    <row r="6" spans="1:43" ht="20.5" customHeight="1" x14ac:dyDescent="0.35">
      <c r="A6" s="134"/>
      <c r="B6" s="134"/>
      <c r="C6" s="134"/>
      <c r="D6" s="134"/>
      <c r="E6" s="134"/>
    </row>
    <row r="7" spans="1:43" ht="15" customHeight="1" x14ac:dyDescent="0.3">
      <c r="A7" s="518" t="s">
        <v>131</v>
      </c>
      <c r="B7" s="518"/>
      <c r="C7" s="518"/>
      <c r="D7" s="518"/>
      <c r="E7" s="518"/>
    </row>
    <row r="8" spans="1:43" ht="15" customHeight="1" thickBot="1" x14ac:dyDescent="0.4">
      <c r="A8" s="519" t="s">
        <v>326</v>
      </c>
      <c r="B8" s="519"/>
      <c r="C8" s="519"/>
      <c r="D8" s="519"/>
      <c r="E8" s="519"/>
    </row>
    <row r="9" spans="1:43" ht="12.75" customHeight="1" thickBot="1" x14ac:dyDescent="0.35">
      <c r="A9" s="526" t="s">
        <v>436</v>
      </c>
      <c r="B9" s="526"/>
      <c r="C9" s="526"/>
      <c r="D9" s="526"/>
      <c r="E9" s="526"/>
      <c r="I9" s="518"/>
      <c r="J9" s="518"/>
      <c r="W9" s="520" t="s">
        <v>132</v>
      </c>
      <c r="X9" s="521"/>
      <c r="Y9" s="521"/>
      <c r="Z9" s="521"/>
      <c r="AA9" s="521"/>
      <c r="AB9" s="521"/>
      <c r="AC9" s="521"/>
      <c r="AD9" s="521"/>
      <c r="AE9" s="521"/>
      <c r="AF9" s="521"/>
      <c r="AG9" s="521"/>
      <c r="AH9" s="521"/>
      <c r="AI9" s="521"/>
      <c r="AJ9" s="521"/>
      <c r="AK9" s="521"/>
      <c r="AL9" s="521"/>
      <c r="AM9" s="521"/>
      <c r="AN9" s="521"/>
      <c r="AO9" s="521"/>
      <c r="AP9" s="521"/>
      <c r="AQ9" s="521"/>
    </row>
    <row r="10" spans="1:43" ht="15" thickBot="1" x14ac:dyDescent="0.4">
      <c r="A10" s="140"/>
      <c r="B10" s="522" t="s">
        <v>133</v>
      </c>
      <c r="C10" s="522"/>
      <c r="D10" s="522"/>
      <c r="E10" s="140"/>
      <c r="H10" s="523" t="s">
        <v>134</v>
      </c>
      <c r="I10" s="524"/>
      <c r="J10" s="524"/>
      <c r="K10" s="524"/>
      <c r="L10" s="524"/>
      <c r="M10" s="524"/>
      <c r="N10" s="524"/>
      <c r="O10" s="524"/>
      <c r="P10" s="524"/>
      <c r="Q10" s="524"/>
      <c r="R10" s="524"/>
      <c r="S10" s="525"/>
      <c r="T10" s="523" t="s">
        <v>135</v>
      </c>
      <c r="U10" s="524"/>
      <c r="V10" s="524"/>
      <c r="W10" s="524"/>
      <c r="X10" s="524"/>
      <c r="Y10" s="524"/>
      <c r="Z10" s="524"/>
      <c r="AA10" s="524"/>
      <c r="AB10" s="524"/>
      <c r="AC10" s="524"/>
      <c r="AD10" s="524"/>
      <c r="AE10" s="525"/>
      <c r="AF10" s="523" t="s">
        <v>136</v>
      </c>
      <c r="AG10" s="524"/>
      <c r="AH10" s="524"/>
      <c r="AI10" s="524"/>
      <c r="AJ10" s="524"/>
      <c r="AK10" s="524"/>
      <c r="AL10" s="524"/>
      <c r="AM10" s="524"/>
      <c r="AN10" s="524"/>
      <c r="AO10" s="524"/>
      <c r="AP10" s="524"/>
      <c r="AQ10" s="525"/>
    </row>
    <row r="11" spans="1:43" ht="12.75" customHeight="1" thickBot="1" x14ac:dyDescent="0.4">
      <c r="A11" s="141"/>
      <c r="B11" s="141"/>
      <c r="C11" s="141"/>
      <c r="D11" s="141"/>
      <c r="E11" s="141"/>
      <c r="H11" s="142">
        <v>43101</v>
      </c>
      <c r="I11" s="142">
        <v>43132</v>
      </c>
      <c r="J11" s="142">
        <v>43160</v>
      </c>
      <c r="K11" s="142">
        <v>43191</v>
      </c>
      <c r="L11" s="142">
        <v>43221</v>
      </c>
      <c r="M11" s="142">
        <v>43252</v>
      </c>
      <c r="N11" s="142">
        <v>43282</v>
      </c>
      <c r="O11" s="142">
        <v>43313</v>
      </c>
      <c r="P11" s="142">
        <v>43344</v>
      </c>
      <c r="Q11" s="142">
        <v>43374</v>
      </c>
      <c r="R11" s="142">
        <v>43405</v>
      </c>
      <c r="S11" s="142">
        <v>43435</v>
      </c>
      <c r="T11" s="142">
        <v>43466</v>
      </c>
      <c r="U11" s="142">
        <v>43497</v>
      </c>
      <c r="V11" s="142">
        <v>43525</v>
      </c>
      <c r="W11" s="143">
        <v>43556</v>
      </c>
      <c r="X11" s="142">
        <v>43586</v>
      </c>
      <c r="Y11" s="142">
        <v>43617</v>
      </c>
      <c r="Z11" s="142">
        <v>43647</v>
      </c>
      <c r="AA11" s="142">
        <v>43678</v>
      </c>
      <c r="AB11" s="142">
        <v>43709</v>
      </c>
      <c r="AC11" s="142">
        <v>43739</v>
      </c>
      <c r="AD11" s="142">
        <v>43770</v>
      </c>
      <c r="AE11" s="142">
        <v>43800</v>
      </c>
      <c r="AF11" s="142">
        <v>43831</v>
      </c>
      <c r="AG11" s="142">
        <v>43862</v>
      </c>
      <c r="AH11" s="142">
        <v>43891</v>
      </c>
      <c r="AI11" s="142">
        <v>43922</v>
      </c>
      <c r="AJ11" s="142">
        <v>43952</v>
      </c>
      <c r="AK11" s="142">
        <v>43983</v>
      </c>
      <c r="AL11" s="142">
        <v>44013</v>
      </c>
      <c r="AM11" s="142">
        <v>44044</v>
      </c>
      <c r="AN11" s="142">
        <v>44075</v>
      </c>
      <c r="AO11" s="142">
        <v>44105</v>
      </c>
      <c r="AP11" s="142">
        <v>44136</v>
      </c>
      <c r="AQ11" s="142">
        <v>44166</v>
      </c>
    </row>
    <row r="12" spans="1:43" ht="12.75" customHeight="1" x14ac:dyDescent="0.35">
      <c r="A12" s="527" t="s">
        <v>137</v>
      </c>
      <c r="B12" s="530" t="s">
        <v>138</v>
      </c>
      <c r="C12" s="533"/>
      <c r="D12" s="534"/>
      <c r="E12" s="534"/>
      <c r="H12" s="144" t="s">
        <v>139</v>
      </c>
      <c r="I12" s="144" t="s">
        <v>140</v>
      </c>
      <c r="J12" s="144" t="s">
        <v>141</v>
      </c>
      <c r="K12" s="144" t="s">
        <v>142</v>
      </c>
      <c r="L12" s="144" t="s">
        <v>143</v>
      </c>
      <c r="M12" s="144" t="s">
        <v>144</v>
      </c>
      <c r="N12" s="144" t="s">
        <v>145</v>
      </c>
      <c r="O12" s="144" t="s">
        <v>146</v>
      </c>
      <c r="P12" s="144" t="s">
        <v>147</v>
      </c>
      <c r="Q12" s="144" t="s">
        <v>148</v>
      </c>
      <c r="R12" s="144" t="s">
        <v>149</v>
      </c>
      <c r="S12" s="144" t="s">
        <v>150</v>
      </c>
      <c r="T12" s="144" t="s">
        <v>151</v>
      </c>
      <c r="U12" s="144" t="s">
        <v>152</v>
      </c>
      <c r="V12" s="144" t="s">
        <v>153</v>
      </c>
      <c r="W12" s="145" t="s">
        <v>154</v>
      </c>
      <c r="X12" s="144" t="s">
        <v>155</v>
      </c>
      <c r="Y12" s="144" t="s">
        <v>156</v>
      </c>
      <c r="Z12" s="144" t="s">
        <v>157</v>
      </c>
      <c r="AA12" s="144" t="s">
        <v>158</v>
      </c>
      <c r="AB12" s="144" t="s">
        <v>159</v>
      </c>
      <c r="AC12" s="144" t="s">
        <v>160</v>
      </c>
      <c r="AD12" s="144" t="s">
        <v>161</v>
      </c>
      <c r="AE12" s="144" t="s">
        <v>162</v>
      </c>
      <c r="AF12" s="144" t="s">
        <v>163</v>
      </c>
      <c r="AG12" s="144" t="s">
        <v>164</v>
      </c>
      <c r="AH12" s="144" t="s">
        <v>165</v>
      </c>
      <c r="AI12" s="144" t="s">
        <v>166</v>
      </c>
      <c r="AJ12" s="144" t="s">
        <v>167</v>
      </c>
      <c r="AK12" s="144" t="s">
        <v>168</v>
      </c>
      <c r="AL12" s="144" t="s">
        <v>169</v>
      </c>
      <c r="AM12" s="144" t="s">
        <v>170</v>
      </c>
      <c r="AN12" s="144" t="s">
        <v>171</v>
      </c>
      <c r="AO12" s="144" t="s">
        <v>172</v>
      </c>
      <c r="AP12" s="144" t="s">
        <v>173</v>
      </c>
      <c r="AQ12" s="144" t="s">
        <v>174</v>
      </c>
    </row>
    <row r="13" spans="1:43" x14ac:dyDescent="0.25">
      <c r="A13" s="528"/>
      <c r="B13" s="531"/>
      <c r="C13" s="535"/>
      <c r="D13" s="536"/>
      <c r="E13" s="536"/>
    </row>
    <row r="14" spans="1:43" ht="12.75" customHeight="1" x14ac:dyDescent="0.25">
      <c r="A14" s="528"/>
      <c r="B14" s="531"/>
      <c r="C14" s="537" t="s">
        <v>175</v>
      </c>
      <c r="D14" s="539" t="s">
        <v>176</v>
      </c>
      <c r="E14" s="537" t="s">
        <v>177</v>
      </c>
    </row>
    <row r="15" spans="1:43" ht="12.75" customHeight="1" x14ac:dyDescent="0.25">
      <c r="A15" s="528"/>
      <c r="B15" s="531"/>
      <c r="C15" s="538"/>
      <c r="D15" s="540"/>
      <c r="E15" s="541"/>
    </row>
    <row r="16" spans="1:43" s="147" customFormat="1" ht="13.5" thickBot="1" x14ac:dyDescent="0.35">
      <c r="A16" s="529"/>
      <c r="B16" s="532"/>
      <c r="C16" s="146" t="s">
        <v>178</v>
      </c>
      <c r="D16" s="146" t="s">
        <v>179</v>
      </c>
      <c r="E16" s="146" t="s">
        <v>178</v>
      </c>
      <c r="W16" s="148"/>
    </row>
    <row r="17" spans="1:44" ht="13.5" thickTop="1" thickBot="1" x14ac:dyDescent="0.3">
      <c r="A17" s="149">
        <v>1</v>
      </c>
      <c r="B17" s="150">
        <v>2</v>
      </c>
      <c r="C17" s="150">
        <v>3</v>
      </c>
      <c r="D17" s="150">
        <v>4</v>
      </c>
      <c r="E17" s="150">
        <v>5</v>
      </c>
    </row>
    <row r="18" spans="1:44" ht="13.5" thickTop="1" x14ac:dyDescent="0.3">
      <c r="A18" s="151" t="s">
        <v>180</v>
      </c>
      <c r="B18" s="152"/>
      <c r="C18" s="152"/>
      <c r="D18" s="152"/>
      <c r="E18" s="152"/>
    </row>
    <row r="19" spans="1:44" ht="13" x14ac:dyDescent="0.3">
      <c r="A19" s="153" t="s">
        <v>181</v>
      </c>
      <c r="B19" s="154"/>
      <c r="C19" s="154"/>
      <c r="D19" s="154"/>
      <c r="E19" s="154"/>
    </row>
    <row r="20" spans="1:44" ht="13.5" thickBot="1" x14ac:dyDescent="0.35">
      <c r="A20" s="153" t="s">
        <v>182</v>
      </c>
      <c r="B20" s="154"/>
      <c r="C20" s="154"/>
      <c r="D20" s="154"/>
      <c r="E20" s="154"/>
    </row>
    <row r="21" spans="1:44" x14ac:dyDescent="0.25">
      <c r="A21" s="155" t="s">
        <v>183</v>
      </c>
      <c r="B21" s="156" t="s">
        <v>184</v>
      </c>
      <c r="C21" s="157">
        <f>('[1]CAP. 1'!E18)</f>
        <v>0</v>
      </c>
      <c r="D21" s="158">
        <f>C21*0.19</f>
        <v>0</v>
      </c>
      <c r="E21" s="158">
        <f>D21+C21</f>
        <v>0</v>
      </c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60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61"/>
    </row>
    <row r="22" spans="1:44" ht="12.75" customHeight="1" x14ac:dyDescent="0.25">
      <c r="A22" s="162" t="s">
        <v>185</v>
      </c>
      <c r="B22" s="159" t="s">
        <v>186</v>
      </c>
      <c r="C22" s="366">
        <v>12097.84</v>
      </c>
      <c r="D22" s="164">
        <f>C22*0.19</f>
        <v>2298.5896000000002</v>
      </c>
      <c r="E22" s="164">
        <f>D22+C22</f>
        <v>14396.429599999999</v>
      </c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65">
        <v>32500</v>
      </c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61"/>
    </row>
    <row r="23" spans="1:44" ht="27" customHeight="1" x14ac:dyDescent="0.35">
      <c r="A23" s="166" t="s">
        <v>187</v>
      </c>
      <c r="B23" s="167" t="s">
        <v>188</v>
      </c>
      <c r="C23" s="367">
        <v>33106.42</v>
      </c>
      <c r="D23" s="164">
        <f>C23*0.19</f>
        <v>6290.2197999999999</v>
      </c>
      <c r="E23" s="168">
        <f>ROUND(D23+C23,2)</f>
        <v>39396.639999999999</v>
      </c>
      <c r="F23" s="16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60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>
        <v>32000</v>
      </c>
      <c r="AK23" s="159"/>
      <c r="AL23" s="159"/>
      <c r="AM23" s="159"/>
      <c r="AN23" s="159"/>
      <c r="AO23" s="159"/>
      <c r="AP23" s="159"/>
      <c r="AQ23" s="159"/>
      <c r="AR23" s="161"/>
    </row>
    <row r="24" spans="1:44" ht="14.5" x14ac:dyDescent="0.35">
      <c r="A24" s="166" t="s">
        <v>189</v>
      </c>
      <c r="B24" s="170" t="s">
        <v>190</v>
      </c>
      <c r="C24" s="367">
        <v>12000</v>
      </c>
      <c r="D24" s="164">
        <f>C24*0.19</f>
        <v>2280</v>
      </c>
      <c r="E24" s="168">
        <f>D24+C24</f>
        <v>14280</v>
      </c>
      <c r="F24" s="16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60"/>
      <c r="X24" s="159">
        <v>45000</v>
      </c>
      <c r="Y24" s="159">
        <v>70000</v>
      </c>
      <c r="Z24" s="159">
        <v>60000</v>
      </c>
      <c r="AA24" s="159">
        <v>45000</v>
      </c>
      <c r="AB24" s="159"/>
      <c r="AC24" s="159"/>
      <c r="AD24" s="159"/>
      <c r="AE24" s="159"/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61"/>
    </row>
    <row r="25" spans="1:44" ht="14.25" customHeight="1" thickBot="1" x14ac:dyDescent="0.4">
      <c r="A25" s="171"/>
      <c r="B25" s="172" t="s">
        <v>191</v>
      </c>
      <c r="C25" s="173">
        <f>SUM(C21:C24)</f>
        <v>57204.259999999995</v>
      </c>
      <c r="D25" s="173">
        <f>SUM(D21:D24)</f>
        <v>10868.8094</v>
      </c>
      <c r="E25" s="173">
        <f>SUM(E21:E24)</f>
        <v>68073.069600000003</v>
      </c>
      <c r="F25" s="16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60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61"/>
    </row>
    <row r="26" spans="1:44" ht="14.25" customHeight="1" x14ac:dyDescent="0.35">
      <c r="A26" s="153" t="s">
        <v>192</v>
      </c>
      <c r="B26" s="154"/>
      <c r="C26" s="174"/>
      <c r="D26" s="174"/>
      <c r="E26" s="174"/>
      <c r="F26" s="16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60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61"/>
    </row>
    <row r="27" spans="1:44" ht="15" thickBot="1" x14ac:dyDescent="0.4">
      <c r="A27" s="153" t="s">
        <v>193</v>
      </c>
      <c r="B27" s="154"/>
      <c r="C27" s="174"/>
      <c r="D27" s="174"/>
      <c r="E27" s="174"/>
      <c r="F27" s="16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60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61"/>
    </row>
    <row r="28" spans="1:44" ht="14.5" x14ac:dyDescent="0.35">
      <c r="A28" s="155" t="s">
        <v>194</v>
      </c>
      <c r="B28" s="175" t="s">
        <v>195</v>
      </c>
      <c r="C28" s="176">
        <v>8500</v>
      </c>
      <c r="D28" s="177">
        <f>ROUND(C28*0.19,2)+0.01</f>
        <v>1615.01</v>
      </c>
      <c r="E28" s="158">
        <f>ROUND(D28+C28,2)</f>
        <v>10115.01</v>
      </c>
      <c r="F28" s="16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60"/>
      <c r="X28" s="159"/>
      <c r="Y28" s="159"/>
      <c r="Z28" s="159">
        <v>35000</v>
      </c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61"/>
    </row>
    <row r="29" spans="1:44" ht="15.75" customHeight="1" thickBot="1" x14ac:dyDescent="0.4">
      <c r="A29" s="178"/>
      <c r="B29" s="172" t="s">
        <v>196</v>
      </c>
      <c r="C29" s="173">
        <f>C28</f>
        <v>8500</v>
      </c>
      <c r="D29" s="173">
        <f>D28</f>
        <v>1615.01</v>
      </c>
      <c r="E29" s="173">
        <f>E28</f>
        <v>10115.01</v>
      </c>
      <c r="F29" s="16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60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61"/>
    </row>
    <row r="30" spans="1:44" ht="15.75" customHeight="1" x14ac:dyDescent="0.35">
      <c r="A30" s="153" t="s">
        <v>197</v>
      </c>
      <c r="B30" s="154"/>
      <c r="C30" s="174"/>
      <c r="D30" s="174"/>
      <c r="E30" s="174"/>
      <c r="F30" s="16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60"/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61"/>
    </row>
    <row r="31" spans="1:44" s="180" customFormat="1" ht="13.5" customHeight="1" thickBot="1" x14ac:dyDescent="0.35">
      <c r="A31" s="153" t="s">
        <v>198</v>
      </c>
      <c r="B31" s="154"/>
      <c r="C31" s="174"/>
      <c r="D31" s="174"/>
      <c r="E31" s="174"/>
      <c r="F31" s="179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60"/>
      <c r="X31" s="181"/>
      <c r="Y31" s="181"/>
      <c r="Z31" s="181"/>
      <c r="AA31" s="181"/>
      <c r="AB31" s="181"/>
      <c r="AC31" s="181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  <c r="AN31" s="181"/>
      <c r="AO31" s="181"/>
      <c r="AP31" s="181"/>
      <c r="AQ31" s="181"/>
      <c r="AR31" s="161"/>
    </row>
    <row r="32" spans="1:44" s="180" customFormat="1" ht="13" x14ac:dyDescent="0.3">
      <c r="A32" s="182" t="s">
        <v>199</v>
      </c>
      <c r="B32" s="183" t="s">
        <v>200</v>
      </c>
      <c r="C32" s="184">
        <f>C33+C34+C35</f>
        <v>21000</v>
      </c>
      <c r="D32" s="185">
        <f>ROUND(C32*0.19,2)</f>
        <v>3990</v>
      </c>
      <c r="E32" s="186">
        <f>D32+C32</f>
        <v>24990</v>
      </c>
      <c r="F32" s="179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60"/>
      <c r="X32" s="181"/>
      <c r="Y32" s="181"/>
      <c r="Z32" s="181"/>
      <c r="AA32" s="181"/>
      <c r="AB32" s="181"/>
      <c r="AC32" s="181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  <c r="AN32" s="181"/>
      <c r="AO32" s="181"/>
      <c r="AP32" s="181"/>
      <c r="AQ32" s="181"/>
      <c r="AR32" s="161"/>
    </row>
    <row r="33" spans="1:44" s="180" customFormat="1" ht="13" x14ac:dyDescent="0.3">
      <c r="A33" s="187"/>
      <c r="B33" s="188" t="s">
        <v>201</v>
      </c>
      <c r="C33" s="189">
        <v>21000</v>
      </c>
      <c r="D33" s="164">
        <f>ROUND(C33*0.19,2)</f>
        <v>3990</v>
      </c>
      <c r="E33" s="190">
        <f>ROUND(D33+C33,2)</f>
        <v>24990</v>
      </c>
      <c r="F33" s="179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1">
        <v>65000</v>
      </c>
      <c r="U33" s="181"/>
      <c r="V33" s="181"/>
      <c r="W33" s="160"/>
      <c r="X33" s="181"/>
      <c r="Y33" s="181"/>
      <c r="Z33" s="181"/>
      <c r="AA33" s="181"/>
      <c r="AB33" s="181"/>
      <c r="AC33" s="181"/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  <c r="AN33" s="181"/>
      <c r="AO33" s="181"/>
      <c r="AP33" s="181"/>
      <c r="AQ33" s="181"/>
      <c r="AR33" s="161"/>
    </row>
    <row r="34" spans="1:44" s="180" customFormat="1" ht="13" x14ac:dyDescent="0.3">
      <c r="A34" s="187"/>
      <c r="B34" s="188" t="s">
        <v>202</v>
      </c>
      <c r="C34" s="189">
        <v>0</v>
      </c>
      <c r="D34" s="164">
        <f>C34*0.19</f>
        <v>0</v>
      </c>
      <c r="E34" s="190">
        <f>D34+C34</f>
        <v>0</v>
      </c>
      <c r="F34" s="179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>
        <v>0</v>
      </c>
      <c r="U34" s="181"/>
      <c r="V34" s="181"/>
      <c r="W34" s="160"/>
      <c r="X34" s="181"/>
      <c r="Y34" s="181"/>
      <c r="Z34" s="181"/>
      <c r="AA34" s="181"/>
      <c r="AB34" s="181"/>
      <c r="AC34" s="181"/>
      <c r="AD34" s="181"/>
      <c r="AE34" s="181"/>
      <c r="AF34" s="181"/>
      <c r="AG34" s="181"/>
      <c r="AH34" s="181"/>
      <c r="AI34" s="181"/>
      <c r="AJ34" s="181"/>
      <c r="AK34" s="181"/>
      <c r="AL34" s="181"/>
      <c r="AM34" s="181"/>
      <c r="AN34" s="181"/>
      <c r="AO34" s="181"/>
      <c r="AP34" s="181"/>
      <c r="AQ34" s="181"/>
      <c r="AR34" s="161"/>
    </row>
    <row r="35" spans="1:44" s="180" customFormat="1" ht="13" x14ac:dyDescent="0.3">
      <c r="A35" s="187"/>
      <c r="B35" s="191" t="s">
        <v>203</v>
      </c>
      <c r="C35" s="189">
        <v>0</v>
      </c>
      <c r="D35" s="164">
        <f>C35*0.19</f>
        <v>0</v>
      </c>
      <c r="E35" s="190">
        <f>D35+C35</f>
        <v>0</v>
      </c>
      <c r="F35" s="179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181">
        <v>8500</v>
      </c>
      <c r="U35" s="181"/>
      <c r="V35" s="181"/>
      <c r="W35" s="160"/>
      <c r="X35" s="181"/>
      <c r="Y35" s="181"/>
      <c r="Z35" s="181"/>
      <c r="AA35" s="181"/>
      <c r="AB35" s="181"/>
      <c r="AC35" s="181"/>
      <c r="AD35" s="181"/>
      <c r="AE35" s="181"/>
      <c r="AF35" s="181"/>
      <c r="AG35" s="181"/>
      <c r="AH35" s="181"/>
      <c r="AI35" s="181"/>
      <c r="AJ35" s="181"/>
      <c r="AK35" s="181"/>
      <c r="AL35" s="181"/>
      <c r="AM35" s="181"/>
      <c r="AN35" s="181"/>
      <c r="AO35" s="181"/>
      <c r="AP35" s="181"/>
      <c r="AQ35" s="181"/>
      <c r="AR35" s="161"/>
    </row>
    <row r="36" spans="1:44" s="180" customFormat="1" ht="26" x14ac:dyDescent="0.25">
      <c r="A36" s="192" t="s">
        <v>204</v>
      </c>
      <c r="B36" s="193" t="s">
        <v>205</v>
      </c>
      <c r="C36" s="194">
        <v>12000</v>
      </c>
      <c r="D36" s="194">
        <v>0</v>
      </c>
      <c r="E36" s="195">
        <f>ROUND(D36+C36,2)</f>
        <v>12000</v>
      </c>
      <c r="F36" s="179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>
        <v>25000</v>
      </c>
      <c r="W36" s="160"/>
      <c r="X36" s="181"/>
      <c r="Y36" s="181"/>
      <c r="Z36" s="181"/>
      <c r="AA36" s="181"/>
      <c r="AB36" s="181"/>
      <c r="AC36" s="181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  <c r="AN36" s="181"/>
      <c r="AO36" s="181"/>
      <c r="AP36" s="181"/>
      <c r="AQ36" s="181"/>
      <c r="AR36" s="161"/>
    </row>
    <row r="37" spans="1:44" ht="14.25" customHeight="1" x14ac:dyDescent="0.25">
      <c r="A37" s="196" t="s">
        <v>206</v>
      </c>
      <c r="B37" s="197" t="s">
        <v>207</v>
      </c>
      <c r="C37" s="194">
        <v>0</v>
      </c>
      <c r="D37" s="194">
        <f>C37*0.19</f>
        <v>0</v>
      </c>
      <c r="E37" s="195">
        <f>D37+C37</f>
        <v>0</v>
      </c>
      <c r="F37" s="198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60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N37" s="159"/>
      <c r="AO37" s="159"/>
      <c r="AP37" s="159">
        <v>120000</v>
      </c>
      <c r="AQ37" s="159"/>
      <c r="AR37" s="161"/>
    </row>
    <row r="38" spans="1:44" ht="13" x14ac:dyDescent="0.25">
      <c r="A38" s="196" t="s">
        <v>208</v>
      </c>
      <c r="B38" s="199" t="s">
        <v>209</v>
      </c>
      <c r="C38" s="194">
        <v>5000</v>
      </c>
      <c r="D38" s="200">
        <f>C38*0.19</f>
        <v>950</v>
      </c>
      <c r="E38" s="195">
        <f>ROUND(D38+C38,2)</f>
        <v>5950</v>
      </c>
      <c r="F38" s="198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60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N38" s="159"/>
      <c r="AO38" s="159"/>
      <c r="AP38" s="159"/>
      <c r="AQ38" s="159">
        <v>5000</v>
      </c>
      <c r="AR38" s="161"/>
    </row>
    <row r="39" spans="1:44" ht="13" x14ac:dyDescent="0.3">
      <c r="A39" s="201" t="s">
        <v>210</v>
      </c>
      <c r="B39" s="202" t="s">
        <v>211</v>
      </c>
      <c r="C39" s="203">
        <f>C40+C41+C42+C43+C44+C45</f>
        <v>124500</v>
      </c>
      <c r="D39" s="203">
        <f>ROUND(C39*0.19,2)</f>
        <v>23655</v>
      </c>
      <c r="E39" s="204">
        <f>ROUND(D39+C39,2)</f>
        <v>148155</v>
      </c>
      <c r="F39" s="198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60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61"/>
    </row>
    <row r="40" spans="1:44" ht="13" x14ac:dyDescent="0.3">
      <c r="A40" s="201"/>
      <c r="B40" s="205" t="s">
        <v>212</v>
      </c>
      <c r="C40" s="163">
        <v>1500</v>
      </c>
      <c r="D40" s="163">
        <f t="shared" ref="D40:D51" si="0">C40*0.19</f>
        <v>285</v>
      </c>
      <c r="E40" s="168">
        <f>D40+C40</f>
        <v>1785</v>
      </c>
      <c r="F40" s="198"/>
      <c r="H40" s="159">
        <v>3500</v>
      </c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60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61"/>
    </row>
    <row r="41" spans="1:44" ht="13" x14ac:dyDescent="0.3">
      <c r="A41" s="201"/>
      <c r="B41" s="206" t="s">
        <v>213</v>
      </c>
      <c r="C41" s="163">
        <v>0</v>
      </c>
      <c r="D41" s="163">
        <f t="shared" si="0"/>
        <v>0</v>
      </c>
      <c r="E41" s="168">
        <f>D41+C41</f>
        <v>0</v>
      </c>
      <c r="F41" s="198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60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61"/>
    </row>
    <row r="42" spans="1:44" ht="12.75" customHeight="1" x14ac:dyDescent="0.25">
      <c r="A42" s="166"/>
      <c r="B42" s="170" t="s">
        <v>214</v>
      </c>
      <c r="C42" s="163">
        <v>90000</v>
      </c>
      <c r="D42" s="163">
        <f t="shared" si="0"/>
        <v>17100</v>
      </c>
      <c r="E42" s="168">
        <f>ROUND(D42+C42,2)</f>
        <v>107100</v>
      </c>
      <c r="F42" s="198"/>
      <c r="H42" s="159"/>
      <c r="I42" s="159">
        <v>75000</v>
      </c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60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61"/>
    </row>
    <row r="43" spans="1:44" ht="30" customHeight="1" x14ac:dyDescent="0.35">
      <c r="A43" s="166"/>
      <c r="B43" s="170" t="s">
        <v>215</v>
      </c>
      <c r="C43" s="163">
        <v>5500</v>
      </c>
      <c r="D43" s="163">
        <f t="shared" si="0"/>
        <v>1045</v>
      </c>
      <c r="E43" s="168">
        <f>D43+C43</f>
        <v>6545</v>
      </c>
      <c r="F43" s="169"/>
      <c r="H43" s="159"/>
      <c r="I43" s="159"/>
      <c r="J43" s="159"/>
      <c r="K43" s="159">
        <v>6500</v>
      </c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60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61"/>
    </row>
    <row r="44" spans="1:44" ht="26.25" customHeight="1" x14ac:dyDescent="0.35">
      <c r="A44" s="166"/>
      <c r="B44" s="170" t="s">
        <v>216</v>
      </c>
      <c r="C44" s="163">
        <v>5500</v>
      </c>
      <c r="D44" s="163">
        <f t="shared" si="0"/>
        <v>1045</v>
      </c>
      <c r="E44" s="168">
        <f>D44+C44</f>
        <v>6545</v>
      </c>
      <c r="F44" s="169"/>
      <c r="H44" s="159"/>
      <c r="I44" s="159"/>
      <c r="J44" s="159"/>
      <c r="K44" s="159"/>
      <c r="L44" s="159">
        <v>6500</v>
      </c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60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61"/>
    </row>
    <row r="45" spans="1:44" ht="14.5" x14ac:dyDescent="0.35">
      <c r="A45" s="166"/>
      <c r="B45" s="170" t="s">
        <v>217</v>
      </c>
      <c r="C45" s="163">
        <v>22000</v>
      </c>
      <c r="D45" s="163">
        <f t="shared" si="0"/>
        <v>4180</v>
      </c>
      <c r="E45" s="168">
        <f>D45+C45</f>
        <v>26180</v>
      </c>
      <c r="F45" s="169"/>
      <c r="H45" s="159"/>
      <c r="I45" s="159"/>
      <c r="J45" s="159"/>
      <c r="K45" s="159"/>
      <c r="L45" s="159">
        <v>104000</v>
      </c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60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61"/>
    </row>
    <row r="46" spans="1:44" ht="14.5" x14ac:dyDescent="0.35">
      <c r="A46" s="192" t="s">
        <v>218</v>
      </c>
      <c r="B46" s="193" t="s">
        <v>219</v>
      </c>
      <c r="C46" s="194">
        <v>12000</v>
      </c>
      <c r="D46" s="194">
        <f t="shared" si="0"/>
        <v>2280</v>
      </c>
      <c r="E46" s="195">
        <f>D46+C46</f>
        <v>14280</v>
      </c>
      <c r="F46" s="169"/>
      <c r="H46" s="159">
        <v>15000</v>
      </c>
      <c r="I46" s="159"/>
      <c r="J46" s="159">
        <v>10000</v>
      </c>
      <c r="K46" s="159"/>
      <c r="L46" s="159"/>
      <c r="M46" s="159"/>
      <c r="N46" s="159"/>
      <c r="O46" s="159"/>
      <c r="P46" s="159"/>
      <c r="Q46" s="159"/>
      <c r="R46" s="159">
        <v>95000</v>
      </c>
      <c r="S46" s="159"/>
      <c r="T46" s="159"/>
      <c r="U46" s="159"/>
      <c r="V46" s="159"/>
      <c r="W46" s="160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61"/>
    </row>
    <row r="47" spans="1:44" ht="14.5" x14ac:dyDescent="0.35">
      <c r="A47" s="201" t="s">
        <v>220</v>
      </c>
      <c r="B47" s="202" t="s">
        <v>221</v>
      </c>
      <c r="C47" s="203">
        <f>ROUND(C48+C51,2)</f>
        <v>125000</v>
      </c>
      <c r="D47" s="203">
        <f t="shared" si="0"/>
        <v>23750</v>
      </c>
      <c r="E47" s="203">
        <f>ROUND(E48+E51,2)</f>
        <v>148750</v>
      </c>
      <c r="F47" s="16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61"/>
    </row>
    <row r="48" spans="1:44" ht="15" customHeight="1" x14ac:dyDescent="0.35">
      <c r="A48" s="201"/>
      <c r="B48" s="207" t="s">
        <v>222</v>
      </c>
      <c r="C48" s="164">
        <f>C49+C50</f>
        <v>105000</v>
      </c>
      <c r="D48" s="163">
        <f t="shared" si="0"/>
        <v>19950</v>
      </c>
      <c r="E48" s="190">
        <f>D48+C48</f>
        <v>124950</v>
      </c>
      <c r="F48" s="208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60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61"/>
    </row>
    <row r="49" spans="1:44" ht="14.5" x14ac:dyDescent="0.35">
      <c r="A49" s="201"/>
      <c r="B49" s="207" t="s">
        <v>223</v>
      </c>
      <c r="C49" s="164">
        <v>65000</v>
      </c>
      <c r="D49" s="163">
        <f t="shared" si="0"/>
        <v>12350</v>
      </c>
      <c r="E49" s="190">
        <f>D49+C49</f>
        <v>77350</v>
      </c>
      <c r="F49" s="208"/>
      <c r="H49" s="159"/>
      <c r="I49" s="159"/>
      <c r="J49" s="159"/>
      <c r="K49" s="159"/>
      <c r="L49" s="159">
        <v>65000</v>
      </c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60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61"/>
    </row>
    <row r="50" spans="1:44" ht="14.5" x14ac:dyDescent="0.35">
      <c r="A50" s="201"/>
      <c r="B50" s="207" t="s">
        <v>224</v>
      </c>
      <c r="C50" s="164">
        <v>40000</v>
      </c>
      <c r="D50" s="163">
        <f t="shared" si="0"/>
        <v>7600</v>
      </c>
      <c r="E50" s="190">
        <f>D50+C50</f>
        <v>47600</v>
      </c>
      <c r="F50" s="208"/>
      <c r="H50" s="159"/>
      <c r="I50" s="159"/>
      <c r="J50" s="159"/>
      <c r="K50" s="159"/>
      <c r="L50" s="159"/>
      <c r="M50" s="159"/>
      <c r="N50" s="159"/>
      <c r="O50" s="159">
        <v>4500</v>
      </c>
      <c r="P50" s="159">
        <v>4500</v>
      </c>
      <c r="Q50" s="159">
        <v>4500</v>
      </c>
      <c r="R50" s="159">
        <v>4500</v>
      </c>
      <c r="S50" s="159">
        <v>4500</v>
      </c>
      <c r="T50" s="159">
        <v>4500</v>
      </c>
      <c r="U50" s="159">
        <v>4500</v>
      </c>
      <c r="V50" s="159">
        <v>4500</v>
      </c>
      <c r="W50" s="159">
        <v>4500</v>
      </c>
      <c r="X50" s="159">
        <v>4500</v>
      </c>
      <c r="Y50" s="159">
        <v>4500</v>
      </c>
      <c r="Z50" s="159">
        <v>4500</v>
      </c>
      <c r="AA50" s="159">
        <v>4500</v>
      </c>
      <c r="AB50" s="159">
        <v>4500</v>
      </c>
      <c r="AC50" s="159">
        <v>4500</v>
      </c>
      <c r="AD50" s="159">
        <v>4500</v>
      </c>
      <c r="AE50" s="159">
        <v>4500</v>
      </c>
      <c r="AF50" s="159">
        <v>4500</v>
      </c>
      <c r="AG50" s="159">
        <v>4500</v>
      </c>
      <c r="AH50" s="159">
        <v>4500</v>
      </c>
      <c r="AI50" s="159">
        <v>4500</v>
      </c>
      <c r="AJ50" s="159">
        <v>4500</v>
      </c>
      <c r="AK50" s="159">
        <v>4500</v>
      </c>
      <c r="AL50" s="159">
        <v>4500</v>
      </c>
      <c r="AM50" s="159">
        <v>4500</v>
      </c>
      <c r="AN50" s="159">
        <v>4500</v>
      </c>
      <c r="AO50" s="159">
        <v>4500</v>
      </c>
      <c r="AP50" s="159">
        <v>4500</v>
      </c>
      <c r="AQ50" s="159">
        <v>4000</v>
      </c>
      <c r="AR50" s="161"/>
    </row>
    <row r="51" spans="1:44" ht="14.5" x14ac:dyDescent="0.35">
      <c r="A51" s="201"/>
      <c r="B51" s="207" t="s">
        <v>225</v>
      </c>
      <c r="C51" s="164">
        <v>20000</v>
      </c>
      <c r="D51" s="163">
        <f t="shared" si="0"/>
        <v>3800</v>
      </c>
      <c r="E51" s="190">
        <f>D51+C51</f>
        <v>23800</v>
      </c>
      <c r="F51" s="208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65">
        <v>2000</v>
      </c>
      <c r="X51" s="209">
        <v>2000</v>
      </c>
      <c r="Y51" s="165">
        <v>2000</v>
      </c>
      <c r="Z51" s="209">
        <v>2000</v>
      </c>
      <c r="AA51" s="165">
        <v>2000</v>
      </c>
      <c r="AB51" s="209">
        <v>2000</v>
      </c>
      <c r="AC51" s="165">
        <v>2000</v>
      </c>
      <c r="AD51" s="209">
        <v>2000</v>
      </c>
      <c r="AE51" s="165">
        <v>2000</v>
      </c>
      <c r="AF51" s="209">
        <v>2000</v>
      </c>
      <c r="AG51" s="165">
        <v>2000</v>
      </c>
      <c r="AH51" s="209">
        <v>2000</v>
      </c>
      <c r="AI51" s="165">
        <v>2000</v>
      </c>
      <c r="AJ51" s="209">
        <v>2000</v>
      </c>
      <c r="AK51" s="165">
        <v>2000</v>
      </c>
      <c r="AL51" s="209">
        <v>2000</v>
      </c>
      <c r="AM51" s="165">
        <v>2000</v>
      </c>
      <c r="AN51" s="209">
        <v>2000</v>
      </c>
      <c r="AO51" s="165">
        <v>2000</v>
      </c>
      <c r="AP51" s="165">
        <v>2000</v>
      </c>
      <c r="AQ51" s="159"/>
      <c r="AR51" s="161"/>
    </row>
    <row r="52" spans="1:44" ht="14.5" x14ac:dyDescent="0.35">
      <c r="A52" s="201" t="s">
        <v>226</v>
      </c>
      <c r="B52" s="202" t="s">
        <v>227</v>
      </c>
      <c r="C52" s="203">
        <f>C53+C56</f>
        <v>47000</v>
      </c>
      <c r="D52" s="203">
        <f>D53+D56</f>
        <v>8930</v>
      </c>
      <c r="E52" s="203">
        <f>E53+E56</f>
        <v>55930</v>
      </c>
      <c r="F52" s="16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60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61"/>
    </row>
    <row r="53" spans="1:44" ht="14.5" x14ac:dyDescent="0.35">
      <c r="A53" s="210"/>
      <c r="B53" s="211" t="s">
        <v>228</v>
      </c>
      <c r="C53" s="212">
        <f>C54+C55</f>
        <v>15000</v>
      </c>
      <c r="D53" s="212">
        <f>C53*0.19</f>
        <v>2850</v>
      </c>
      <c r="E53" s="212">
        <f>ROUND(E54+E55,2)</f>
        <v>17850</v>
      </c>
      <c r="F53" s="16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60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61"/>
    </row>
    <row r="54" spans="1:44" ht="15" customHeight="1" x14ac:dyDescent="0.35">
      <c r="A54" s="210"/>
      <c r="B54" s="213" t="s">
        <v>229</v>
      </c>
      <c r="C54" s="214">
        <v>8500</v>
      </c>
      <c r="D54" s="163">
        <f>C54*0.19</f>
        <v>1615</v>
      </c>
      <c r="E54" s="190">
        <f>D54+C54</f>
        <v>10115</v>
      </c>
      <c r="F54" s="16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60"/>
      <c r="X54" s="159"/>
      <c r="Y54" s="159"/>
      <c r="Z54" s="159"/>
      <c r="AA54" s="159"/>
      <c r="AB54" s="159"/>
      <c r="AC54" s="159">
        <v>5500</v>
      </c>
      <c r="AD54" s="159">
        <v>4500</v>
      </c>
      <c r="AE54" s="159"/>
      <c r="AF54" s="159"/>
      <c r="AG54" s="159"/>
      <c r="AH54" s="159"/>
      <c r="AI54" s="159"/>
      <c r="AJ54" s="159"/>
      <c r="AK54" s="159"/>
      <c r="AL54" s="159"/>
      <c r="AM54" s="159">
        <v>4500</v>
      </c>
      <c r="AN54" s="159">
        <v>5000</v>
      </c>
      <c r="AO54" s="159"/>
      <c r="AP54" s="159"/>
      <c r="AQ54" s="159"/>
      <c r="AR54" s="161"/>
    </row>
    <row r="55" spans="1:44" ht="37.5" x14ac:dyDescent="0.35">
      <c r="A55" s="210"/>
      <c r="B55" s="215" t="s">
        <v>230</v>
      </c>
      <c r="C55" s="214">
        <v>6500</v>
      </c>
      <c r="D55" s="163">
        <f>C55*0.19</f>
        <v>1235</v>
      </c>
      <c r="E55" s="168">
        <f>D55+C55</f>
        <v>7735</v>
      </c>
      <c r="F55" s="216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60"/>
      <c r="X55" s="159"/>
      <c r="Y55" s="159"/>
      <c r="Z55" s="159"/>
      <c r="AA55" s="159"/>
      <c r="AB55" s="159"/>
      <c r="AC55" s="159">
        <v>2000</v>
      </c>
      <c r="AD55" s="159">
        <v>2000</v>
      </c>
      <c r="AE55" s="159"/>
      <c r="AF55" s="159"/>
      <c r="AG55" s="159"/>
      <c r="AH55" s="159"/>
      <c r="AI55" s="159"/>
      <c r="AJ55" s="159"/>
      <c r="AK55" s="159"/>
      <c r="AL55" s="159"/>
      <c r="AM55" s="159">
        <v>2000</v>
      </c>
      <c r="AN55" s="159">
        <v>2500</v>
      </c>
      <c r="AO55" s="159"/>
      <c r="AP55" s="159"/>
      <c r="AQ55" s="159"/>
      <c r="AR55" s="161"/>
    </row>
    <row r="56" spans="1:44" ht="15" customHeight="1" x14ac:dyDescent="0.35">
      <c r="A56" s="210"/>
      <c r="B56" s="211" t="s">
        <v>231</v>
      </c>
      <c r="C56" s="212">
        <v>32000</v>
      </c>
      <c r="D56" s="163">
        <f>C56*0.19</f>
        <v>6080</v>
      </c>
      <c r="E56" s="168">
        <f>D56+C56</f>
        <v>38080</v>
      </c>
      <c r="F56" s="16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60"/>
      <c r="X56" s="159">
        <v>4200</v>
      </c>
      <c r="Y56" s="159">
        <v>4200</v>
      </c>
      <c r="Z56" s="159">
        <v>4200</v>
      </c>
      <c r="AA56" s="159">
        <v>4200</v>
      </c>
      <c r="AB56" s="159">
        <v>4200</v>
      </c>
      <c r="AC56" s="159">
        <v>4200</v>
      </c>
      <c r="AD56" s="159">
        <v>4200</v>
      </c>
      <c r="AE56" s="159">
        <v>4200</v>
      </c>
      <c r="AF56" s="159">
        <v>4200</v>
      </c>
      <c r="AG56" s="159">
        <v>4200</v>
      </c>
      <c r="AH56" s="159">
        <v>4200</v>
      </c>
      <c r="AI56" s="159">
        <v>4200</v>
      </c>
      <c r="AJ56" s="159">
        <v>4200</v>
      </c>
      <c r="AK56" s="159">
        <v>4200</v>
      </c>
      <c r="AL56" s="159">
        <v>4200</v>
      </c>
      <c r="AM56" s="159">
        <v>4200</v>
      </c>
      <c r="AN56" s="159">
        <v>4200</v>
      </c>
      <c r="AO56" s="159">
        <v>4200</v>
      </c>
      <c r="AP56" s="159">
        <v>4400</v>
      </c>
      <c r="AQ56" s="159"/>
      <c r="AR56" s="161"/>
    </row>
    <row r="57" spans="1:44" ht="15" customHeight="1" thickBot="1" x14ac:dyDescent="0.4">
      <c r="A57" s="217"/>
      <c r="B57" s="172" t="s">
        <v>232</v>
      </c>
      <c r="C57" s="173">
        <f>C52+C47+C46+C39+C38+C37+C36+C32</f>
        <v>346500</v>
      </c>
      <c r="D57" s="173">
        <f>ROUND(D32+D36+D39+D46+D47+D52+D38,2)</f>
        <v>63555</v>
      </c>
      <c r="E57" s="173">
        <f>ROUND(E32+E36+E39+E46+E47+E52+E38,2)</f>
        <v>410055</v>
      </c>
      <c r="F57" s="16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60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61"/>
    </row>
    <row r="58" spans="1:44" ht="13" x14ac:dyDescent="0.3">
      <c r="A58" s="153" t="s">
        <v>233</v>
      </c>
      <c r="B58" s="154"/>
      <c r="C58" s="174"/>
      <c r="D58" s="174"/>
      <c r="E58" s="174"/>
      <c r="F58" s="198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60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61"/>
    </row>
    <row r="59" spans="1:44" ht="15" customHeight="1" thickBot="1" x14ac:dyDescent="0.35">
      <c r="A59" s="153" t="s">
        <v>234</v>
      </c>
      <c r="B59" s="154"/>
      <c r="C59" s="174"/>
      <c r="D59" s="174"/>
      <c r="E59" s="174"/>
      <c r="F59" s="198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60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61"/>
    </row>
    <row r="60" spans="1:44" x14ac:dyDescent="0.25">
      <c r="A60" s="155" t="s">
        <v>235</v>
      </c>
      <c r="B60" s="156" t="s">
        <v>236</v>
      </c>
      <c r="C60" s="177">
        <f>1608576.73+233494.86+115101.02</f>
        <v>1957172.6099999999</v>
      </c>
      <c r="D60" s="218">
        <f t="shared" ref="D60:D65" si="1">C60*0.19</f>
        <v>371862.79589999997</v>
      </c>
      <c r="E60" s="218">
        <f t="shared" ref="E60:E65" si="2">C60+D60</f>
        <v>2329035.4058999997</v>
      </c>
      <c r="F60" s="198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60"/>
      <c r="X60" s="219">
        <f>350000+75000</f>
        <v>425000</v>
      </c>
      <c r="Y60" s="219">
        <f>420388+115000</f>
        <v>535388</v>
      </c>
      <c r="Z60" s="219">
        <f>250000+550000+165000</f>
        <v>965000</v>
      </c>
      <c r="AA60" s="219">
        <f>248308+480000+155000</f>
        <v>883308</v>
      </c>
      <c r="AB60" s="219">
        <f>200000+660000+165000</f>
        <v>1025000</v>
      </c>
      <c r="AC60" s="219">
        <f>199036+680000+180000</f>
        <v>1059036</v>
      </c>
      <c r="AD60" s="219">
        <f>176753+393418+255247+180000</f>
        <v>1005418</v>
      </c>
      <c r="AE60" s="219"/>
      <c r="AF60" s="219"/>
      <c r="AG60" s="219"/>
      <c r="AH60" s="219"/>
      <c r="AI60" s="219">
        <f>297429+87805+57746</f>
        <v>442980</v>
      </c>
      <c r="AJ60" s="219">
        <f>453143+70000</f>
        <v>523143</v>
      </c>
      <c r="AK60" s="219">
        <f>138053+90486+281515+78000</f>
        <v>588054</v>
      </c>
      <c r="AL60" s="219">
        <f>102572+117662+43314+200000+78000</f>
        <v>541548</v>
      </c>
      <c r="AM60" s="219">
        <f>450000+78000</f>
        <v>528000</v>
      </c>
      <c r="AN60" s="219">
        <f>324099+55000</f>
        <v>379099</v>
      </c>
      <c r="AO60" s="159">
        <f>318526+55000</f>
        <v>373526</v>
      </c>
      <c r="AP60" s="159"/>
      <c r="AQ60" s="159"/>
      <c r="AR60" s="161"/>
    </row>
    <row r="61" spans="1:44" x14ac:dyDescent="0.25">
      <c r="A61" s="162" t="s">
        <v>237</v>
      </c>
      <c r="B61" s="159" t="s">
        <v>238</v>
      </c>
      <c r="C61" s="164">
        <v>0</v>
      </c>
      <c r="D61" s="220">
        <f t="shared" si="1"/>
        <v>0</v>
      </c>
      <c r="E61" s="220">
        <f t="shared" si="2"/>
        <v>0</v>
      </c>
      <c r="F61" s="221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60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61"/>
    </row>
    <row r="62" spans="1:44" x14ac:dyDescent="0.25">
      <c r="A62" s="166" t="s">
        <v>239</v>
      </c>
      <c r="B62" s="167" t="s">
        <v>240</v>
      </c>
      <c r="C62" s="222">
        <v>0</v>
      </c>
      <c r="D62" s="220">
        <f t="shared" si="1"/>
        <v>0</v>
      </c>
      <c r="E62" s="220">
        <f t="shared" si="2"/>
        <v>0</v>
      </c>
      <c r="F62" s="198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60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61"/>
    </row>
    <row r="63" spans="1:44" ht="25" x14ac:dyDescent="0.25">
      <c r="A63" s="166" t="s">
        <v>241</v>
      </c>
      <c r="B63" s="223" t="s">
        <v>242</v>
      </c>
      <c r="C63" s="224">
        <v>0</v>
      </c>
      <c r="D63" s="220">
        <f t="shared" si="1"/>
        <v>0</v>
      </c>
      <c r="E63" s="220">
        <f t="shared" si="2"/>
        <v>0</v>
      </c>
      <c r="F63" s="198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60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61"/>
    </row>
    <row r="64" spans="1:44" x14ac:dyDescent="0.25">
      <c r="A64" s="225" t="s">
        <v>243</v>
      </c>
      <c r="B64" s="226" t="s">
        <v>244</v>
      </c>
      <c r="C64" s="224">
        <v>13000</v>
      </c>
      <c r="D64" s="220">
        <f t="shared" si="1"/>
        <v>2470</v>
      </c>
      <c r="E64" s="220">
        <f t="shared" si="2"/>
        <v>15470</v>
      </c>
      <c r="F64" s="198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65">
        <v>18500</v>
      </c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61"/>
    </row>
    <row r="65" spans="1:44" x14ac:dyDescent="0.25">
      <c r="A65" s="227" t="s">
        <v>245</v>
      </c>
      <c r="B65" s="228" t="s">
        <v>246</v>
      </c>
      <c r="C65" s="229">
        <v>32000</v>
      </c>
      <c r="D65" s="230">
        <f t="shared" si="1"/>
        <v>6080</v>
      </c>
      <c r="E65" s="231">
        <f t="shared" si="2"/>
        <v>38080</v>
      </c>
      <c r="F65" s="221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65">
        <v>120000</v>
      </c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61"/>
    </row>
    <row r="66" spans="1:44" ht="13.5" thickBot="1" x14ac:dyDescent="0.35">
      <c r="A66" s="217"/>
      <c r="B66" s="172" t="s">
        <v>247</v>
      </c>
      <c r="C66" s="173">
        <f>C60+C61+C62+C63+C64+C65</f>
        <v>2002172.6099999999</v>
      </c>
      <c r="D66" s="173">
        <f>D60+D61+D62+D63+D64+D65</f>
        <v>380412.79589999997</v>
      </c>
      <c r="E66" s="173">
        <f>E60+E61+E62+E63+E64+E65</f>
        <v>2382585.4058999997</v>
      </c>
      <c r="F66" s="198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60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61"/>
    </row>
    <row r="67" spans="1:44" ht="13" x14ac:dyDescent="0.3">
      <c r="A67" s="153" t="s">
        <v>248</v>
      </c>
      <c r="B67" s="154"/>
      <c r="C67" s="174"/>
      <c r="D67" s="174"/>
      <c r="E67" s="174"/>
      <c r="F67" s="232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60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61"/>
    </row>
    <row r="68" spans="1:44" ht="13.5" thickBot="1" x14ac:dyDescent="0.35">
      <c r="A68" s="153" t="s">
        <v>249</v>
      </c>
      <c r="B68" s="154"/>
      <c r="C68" s="174"/>
      <c r="D68" s="174"/>
      <c r="E68" s="174"/>
      <c r="F68" s="198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60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61"/>
    </row>
    <row r="69" spans="1:44" ht="13" x14ac:dyDescent="0.3">
      <c r="A69" s="182" t="s">
        <v>250</v>
      </c>
      <c r="B69" s="183" t="s">
        <v>251</v>
      </c>
      <c r="C69" s="233">
        <f>ROUND(C70+C71,2)</f>
        <v>38895.75</v>
      </c>
      <c r="D69" s="233">
        <f>ROUND(D70+D71,2)</f>
        <v>7390.19</v>
      </c>
      <c r="E69" s="233">
        <f>ROUND(E70+E71,2)</f>
        <v>46285.94</v>
      </c>
      <c r="F69" s="198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60"/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61"/>
    </row>
    <row r="70" spans="1:44" x14ac:dyDescent="0.25">
      <c r="A70" s="162"/>
      <c r="B70" s="234" t="s">
        <v>252</v>
      </c>
      <c r="C70" s="220">
        <v>26895.75</v>
      </c>
      <c r="D70" s="164">
        <f>C70*0.19</f>
        <v>5110.1925000000001</v>
      </c>
      <c r="E70" s="164">
        <f>D70+C70</f>
        <v>32005.942500000001</v>
      </c>
      <c r="F70" s="198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65">
        <v>32500</v>
      </c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61"/>
    </row>
    <row r="71" spans="1:44" x14ac:dyDescent="0.25">
      <c r="A71" s="162"/>
      <c r="B71" s="167" t="s">
        <v>253</v>
      </c>
      <c r="C71" s="163">
        <v>12000</v>
      </c>
      <c r="D71" s="163">
        <f>C71*0.19</f>
        <v>2280</v>
      </c>
      <c r="E71" s="163">
        <f>D71+C71</f>
        <v>14280</v>
      </c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65"/>
      <c r="X71" s="159"/>
      <c r="Y71" s="159"/>
      <c r="Z71" s="159"/>
      <c r="AA71" s="159"/>
      <c r="AB71" s="159">
        <v>8500</v>
      </c>
      <c r="AC71" s="159"/>
      <c r="AD71" s="159"/>
      <c r="AE71" s="159"/>
      <c r="AF71" s="159"/>
      <c r="AG71" s="159"/>
      <c r="AH71" s="159"/>
      <c r="AI71" s="159"/>
      <c r="AJ71" s="159"/>
      <c r="AK71" s="159"/>
      <c r="AL71" s="159"/>
      <c r="AM71" s="159"/>
      <c r="AN71" s="159"/>
      <c r="AO71" s="159">
        <v>10000</v>
      </c>
      <c r="AP71" s="159"/>
      <c r="AQ71" s="159"/>
      <c r="AR71" s="161"/>
    </row>
    <row r="72" spans="1:44" ht="13" x14ac:dyDescent="0.25">
      <c r="A72" s="192" t="s">
        <v>254</v>
      </c>
      <c r="B72" s="235" t="s">
        <v>255</v>
      </c>
      <c r="C72" s="194">
        <f>ROUND(C73+C74+C75+C76+C77,2)</f>
        <v>25023.9</v>
      </c>
      <c r="D72" s="194">
        <f>ROUND(D73+D74+D75+D76+D77,2)</f>
        <v>0</v>
      </c>
      <c r="E72" s="194">
        <f>ROUND(E73+E74+E75+E76+E77,2)</f>
        <v>25023.9</v>
      </c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65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61"/>
    </row>
    <row r="73" spans="1:44" x14ac:dyDescent="0.25">
      <c r="A73" s="236"/>
      <c r="B73" s="237" t="s">
        <v>256</v>
      </c>
      <c r="C73" s="238">
        <v>0</v>
      </c>
      <c r="D73" s="163">
        <f>C73*0.19</f>
        <v>0</v>
      </c>
      <c r="E73" s="163">
        <f>D73+C73</f>
        <v>0</v>
      </c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65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61"/>
    </row>
    <row r="74" spans="1:44" x14ac:dyDescent="0.25">
      <c r="A74" s="236"/>
      <c r="B74" s="237" t="s">
        <v>257</v>
      </c>
      <c r="C74" s="238">
        <f>0.005*C66</f>
        <v>10010.86305</v>
      </c>
      <c r="D74" s="163">
        <v>0</v>
      </c>
      <c r="E74" s="163">
        <f>C74</f>
        <v>10010.86305</v>
      </c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65">
        <v>47065</v>
      </c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61"/>
    </row>
    <row r="75" spans="1:44" ht="25" x14ac:dyDescent="0.25">
      <c r="A75" s="236"/>
      <c r="B75" s="237" t="s">
        <v>258</v>
      </c>
      <c r="C75" s="238">
        <f>0.001*C66</f>
        <v>2002.1726099999998</v>
      </c>
      <c r="D75" s="163">
        <v>0</v>
      </c>
      <c r="E75" s="163">
        <f>C75</f>
        <v>2002.1726099999998</v>
      </c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60"/>
      <c r="X75" s="159"/>
      <c r="Y75" s="159"/>
      <c r="Z75" s="159"/>
      <c r="AA75" s="159"/>
      <c r="AB75" s="159"/>
      <c r="AC75" s="159"/>
      <c r="AD75" s="159"/>
      <c r="AE75" s="159"/>
      <c r="AF75" s="159"/>
      <c r="AG75" s="159"/>
      <c r="AH75" s="159"/>
      <c r="AI75" s="159"/>
      <c r="AJ75" s="159"/>
      <c r="AK75" s="159"/>
      <c r="AL75" s="159"/>
      <c r="AM75" s="159"/>
      <c r="AN75" s="159"/>
      <c r="AO75" s="159"/>
      <c r="AP75" s="159">
        <v>9413</v>
      </c>
      <c r="AQ75" s="159"/>
      <c r="AR75" s="161"/>
    </row>
    <row r="76" spans="1:44" x14ac:dyDescent="0.25">
      <c r="A76" s="236"/>
      <c r="B76" s="237" t="s">
        <v>259</v>
      </c>
      <c r="C76" s="238">
        <f>0.005*C66</f>
        <v>10010.86305</v>
      </c>
      <c r="D76" s="163">
        <v>0</v>
      </c>
      <c r="E76" s="163">
        <f>C76</f>
        <v>10010.86305</v>
      </c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60"/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P76" s="159">
        <v>47065</v>
      </c>
      <c r="AQ76" s="159"/>
      <c r="AR76" s="161"/>
    </row>
    <row r="77" spans="1:44" ht="25" x14ac:dyDescent="0.25">
      <c r="A77" s="236"/>
      <c r="B77" s="237" t="s">
        <v>260</v>
      </c>
      <c r="C77" s="238">
        <v>3000</v>
      </c>
      <c r="D77" s="163">
        <v>0</v>
      </c>
      <c r="E77" s="163">
        <f>C77</f>
        <v>3000</v>
      </c>
      <c r="H77" s="159"/>
      <c r="I77" s="159"/>
      <c r="J77" s="159"/>
      <c r="K77" s="159"/>
      <c r="L77" s="159"/>
      <c r="M77" s="159"/>
      <c r="N77" s="159">
        <v>3000</v>
      </c>
      <c r="O77" s="159"/>
      <c r="P77" s="159"/>
      <c r="Q77" s="159"/>
      <c r="R77" s="159"/>
      <c r="S77" s="159"/>
      <c r="T77" s="159"/>
      <c r="U77" s="159"/>
      <c r="V77" s="159"/>
      <c r="W77" s="160"/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61"/>
    </row>
    <row r="78" spans="1:44" ht="13" x14ac:dyDescent="0.3">
      <c r="A78" s="201" t="s">
        <v>261</v>
      </c>
      <c r="B78" s="239" t="s">
        <v>262</v>
      </c>
      <c r="C78" s="203">
        <f>C66*0.1</f>
        <v>200217.261</v>
      </c>
      <c r="D78" s="203">
        <f>ROUND(C78*0.19,2)</f>
        <v>38041.279999999999</v>
      </c>
      <c r="E78" s="203">
        <f>ROUND(D78+C78,2)</f>
        <v>238258.54</v>
      </c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60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59"/>
      <c r="AM78" s="159"/>
      <c r="AN78" s="159"/>
      <c r="AO78" s="159"/>
      <c r="AP78" s="159">
        <v>941300</v>
      </c>
      <c r="AQ78" s="159"/>
      <c r="AR78" s="161"/>
    </row>
    <row r="79" spans="1:44" ht="13" x14ac:dyDescent="0.3">
      <c r="A79" s="240" t="s">
        <v>263</v>
      </c>
      <c r="B79" s="241" t="s">
        <v>264</v>
      </c>
      <c r="C79" s="242">
        <v>8400</v>
      </c>
      <c r="D79" s="203">
        <f>ROUND(C79*0.19,2)</f>
        <v>1596</v>
      </c>
      <c r="E79" s="203">
        <f>ROUND(D79+C79,2)</f>
        <v>9996</v>
      </c>
      <c r="F79" s="243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65">
        <v>8400</v>
      </c>
      <c r="X79" s="159"/>
      <c r="Y79" s="159"/>
      <c r="Z79" s="159"/>
      <c r="AA79" s="159"/>
      <c r="AB79" s="159"/>
      <c r="AC79" s="159"/>
      <c r="AD79" s="159"/>
      <c r="AE79" s="159"/>
      <c r="AF79" s="159"/>
      <c r="AG79" s="159"/>
      <c r="AH79" s="159"/>
      <c r="AI79" s="159"/>
      <c r="AJ79" s="159"/>
      <c r="AK79" s="159"/>
      <c r="AL79" s="159"/>
      <c r="AM79" s="159"/>
      <c r="AN79" s="159"/>
      <c r="AO79" s="159"/>
      <c r="AP79" s="159"/>
      <c r="AQ79" s="159"/>
      <c r="AR79" s="161"/>
    </row>
    <row r="80" spans="1:44" ht="13.5" thickBot="1" x14ac:dyDescent="0.35">
      <c r="A80" s="217"/>
      <c r="B80" s="172" t="s">
        <v>265</v>
      </c>
      <c r="C80" s="173">
        <f>ROUND(C69+C72+C78+C79,2)</f>
        <v>272536.90999999997</v>
      </c>
      <c r="D80" s="173">
        <f>ROUND(D69+D72+D78+D79,2)</f>
        <v>47027.47</v>
      </c>
      <c r="E80" s="173">
        <f>ROUND(E69+E72+E78+E79,2)</f>
        <v>319564.38</v>
      </c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60"/>
      <c r="X80" s="159"/>
      <c r="Y80" s="159"/>
      <c r="Z80" s="159"/>
      <c r="AA80" s="159"/>
      <c r="AB80" s="159"/>
      <c r="AC80" s="159"/>
      <c r="AD80" s="159"/>
      <c r="AE80" s="159"/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61"/>
    </row>
    <row r="81" spans="1:45" ht="13" x14ac:dyDescent="0.3">
      <c r="A81" s="153" t="s">
        <v>266</v>
      </c>
      <c r="B81" s="154"/>
      <c r="C81" s="174"/>
      <c r="D81" s="174"/>
      <c r="E81" s="174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60"/>
      <c r="X81" s="159"/>
      <c r="Y81" s="159"/>
      <c r="Z81" s="159"/>
      <c r="AA81" s="159"/>
      <c r="AB81" s="159"/>
      <c r="AC81" s="159"/>
      <c r="AD81" s="159"/>
      <c r="AE81" s="159"/>
      <c r="AF81" s="159"/>
      <c r="AG81" s="159"/>
      <c r="AH81" s="159"/>
      <c r="AI81" s="159"/>
      <c r="AJ81" s="159"/>
      <c r="AK81" s="159"/>
      <c r="AL81" s="159"/>
      <c r="AM81" s="159"/>
      <c r="AN81" s="159"/>
      <c r="AO81" s="159"/>
      <c r="AP81" s="159"/>
      <c r="AQ81" s="159"/>
      <c r="AR81" s="161"/>
    </row>
    <row r="82" spans="1:45" ht="13.5" thickBot="1" x14ac:dyDescent="0.35">
      <c r="A82" s="244"/>
      <c r="B82" s="154"/>
      <c r="C82" s="245" t="s">
        <v>267</v>
      </c>
      <c r="D82" s="174"/>
      <c r="E82" s="174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60"/>
      <c r="X82" s="159"/>
      <c r="Y82" s="159"/>
      <c r="Z82" s="159"/>
      <c r="AA82" s="159"/>
      <c r="AB82" s="159"/>
      <c r="AC82" s="159"/>
      <c r="AD82" s="159"/>
      <c r="AE82" s="159"/>
      <c r="AF82" s="159"/>
      <c r="AG82" s="159"/>
      <c r="AH82" s="159"/>
      <c r="AI82" s="159"/>
      <c r="AJ82" s="159"/>
      <c r="AK82" s="159"/>
      <c r="AL82" s="159"/>
      <c r="AM82" s="159"/>
      <c r="AN82" s="159"/>
      <c r="AO82" s="159"/>
      <c r="AP82" s="159"/>
      <c r="AQ82" s="159"/>
      <c r="AR82" s="161"/>
    </row>
    <row r="83" spans="1:45" x14ac:dyDescent="0.25">
      <c r="A83" s="155" t="s">
        <v>268</v>
      </c>
      <c r="B83" s="156" t="s">
        <v>269</v>
      </c>
      <c r="C83" s="158">
        <v>4500</v>
      </c>
      <c r="D83" s="158">
        <f>C83*0.19</f>
        <v>855</v>
      </c>
      <c r="E83" s="158">
        <f>C83+D83</f>
        <v>5355</v>
      </c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60"/>
      <c r="X83" s="159"/>
      <c r="Y83" s="159"/>
      <c r="Z83" s="159"/>
      <c r="AA83" s="159"/>
      <c r="AB83" s="159"/>
      <c r="AC83" s="159"/>
      <c r="AD83" s="159"/>
      <c r="AE83" s="159"/>
      <c r="AF83" s="159"/>
      <c r="AG83" s="159"/>
      <c r="AH83" s="159"/>
      <c r="AI83" s="159"/>
      <c r="AJ83" s="159"/>
      <c r="AK83" s="159"/>
      <c r="AL83" s="159"/>
      <c r="AM83" s="159"/>
      <c r="AN83" s="159"/>
      <c r="AO83" s="159"/>
      <c r="AP83" s="159">
        <v>4500</v>
      </c>
      <c r="AQ83" s="159"/>
      <c r="AR83" s="161"/>
    </row>
    <row r="84" spans="1:45" x14ac:dyDescent="0.25">
      <c r="A84" s="162" t="s">
        <v>270</v>
      </c>
      <c r="B84" s="159" t="s">
        <v>271</v>
      </c>
      <c r="C84" s="164">
        <v>25000</v>
      </c>
      <c r="D84" s="164">
        <f>C84*0.19</f>
        <v>4750</v>
      </c>
      <c r="E84" s="164">
        <f>C84+D84</f>
        <v>29750</v>
      </c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60"/>
      <c r="X84" s="159"/>
      <c r="Y84" s="159"/>
      <c r="Z84" s="159"/>
      <c r="AA84" s="159"/>
      <c r="AB84" s="159"/>
      <c r="AC84" s="159"/>
      <c r="AD84" s="159"/>
      <c r="AE84" s="159"/>
      <c r="AF84" s="159"/>
      <c r="AG84" s="159"/>
      <c r="AH84" s="159"/>
      <c r="AI84" s="159"/>
      <c r="AJ84" s="159"/>
      <c r="AK84" s="159"/>
      <c r="AL84" s="159"/>
      <c r="AM84" s="159"/>
      <c r="AN84" s="159"/>
      <c r="AO84" s="159"/>
      <c r="AP84" s="159">
        <v>25000</v>
      </c>
      <c r="AQ84" s="159"/>
      <c r="AR84" s="161"/>
    </row>
    <row r="85" spans="1:45" ht="13.5" thickBot="1" x14ac:dyDescent="0.35">
      <c r="A85" s="246"/>
      <c r="B85" s="247" t="s">
        <v>272</v>
      </c>
      <c r="C85" s="248">
        <f>C83+C84</f>
        <v>29500</v>
      </c>
      <c r="D85" s="248">
        <f>C85*0.19</f>
        <v>5605</v>
      </c>
      <c r="E85" s="248">
        <f>C85+D85</f>
        <v>35105</v>
      </c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60"/>
      <c r="X85" s="159"/>
      <c r="Y85" s="159"/>
      <c r="Z85" s="159"/>
      <c r="AA85" s="159"/>
      <c r="AB85" s="159"/>
      <c r="AC85" s="159"/>
      <c r="AD85" s="159"/>
      <c r="AE85" s="159"/>
      <c r="AF85" s="159"/>
      <c r="AG85" s="159"/>
      <c r="AH85" s="159"/>
      <c r="AI85" s="159"/>
      <c r="AJ85" s="159"/>
      <c r="AK85" s="159"/>
      <c r="AL85" s="159"/>
      <c r="AM85" s="159"/>
      <c r="AN85" s="159"/>
      <c r="AO85" s="159"/>
      <c r="AP85" s="159"/>
      <c r="AQ85" s="159"/>
      <c r="AR85" s="161"/>
    </row>
    <row r="86" spans="1:45" ht="13.5" thickBot="1" x14ac:dyDescent="0.35">
      <c r="A86" s="249"/>
      <c r="B86" s="250"/>
      <c r="C86" s="251"/>
      <c r="D86" s="251"/>
      <c r="E86" s="251"/>
      <c r="H86" s="252">
        <f t="shared" ref="H86:AP86" si="3">SUM(H21:H85)</f>
        <v>18500</v>
      </c>
      <c r="I86" s="252">
        <f t="shared" si="3"/>
        <v>75000</v>
      </c>
      <c r="J86" s="252">
        <f t="shared" si="3"/>
        <v>10000</v>
      </c>
      <c r="K86" s="252">
        <f t="shared" si="3"/>
        <v>6500</v>
      </c>
      <c r="L86" s="252">
        <f t="shared" si="3"/>
        <v>175500</v>
      </c>
      <c r="M86" s="252">
        <f t="shared" si="3"/>
        <v>0</v>
      </c>
      <c r="N86" s="252">
        <f t="shared" si="3"/>
        <v>3000</v>
      </c>
      <c r="O86" s="252">
        <f t="shared" si="3"/>
        <v>4500</v>
      </c>
      <c r="P86" s="252">
        <f t="shared" si="3"/>
        <v>4500</v>
      </c>
      <c r="Q86" s="252">
        <f t="shared" si="3"/>
        <v>4500</v>
      </c>
      <c r="R86" s="252">
        <f t="shared" si="3"/>
        <v>99500</v>
      </c>
      <c r="S86" s="252">
        <f t="shared" si="3"/>
        <v>4500</v>
      </c>
      <c r="T86" s="252">
        <f t="shared" si="3"/>
        <v>78000</v>
      </c>
      <c r="U86" s="252">
        <f t="shared" si="3"/>
        <v>4500</v>
      </c>
      <c r="V86" s="252">
        <f t="shared" si="3"/>
        <v>29500</v>
      </c>
      <c r="W86" s="252">
        <f t="shared" si="3"/>
        <v>265465</v>
      </c>
      <c r="X86" s="252">
        <f t="shared" si="3"/>
        <v>480700</v>
      </c>
      <c r="Y86" s="252">
        <f t="shared" si="3"/>
        <v>616088</v>
      </c>
      <c r="Z86" s="252">
        <f t="shared" si="3"/>
        <v>1070700</v>
      </c>
      <c r="AA86" s="252">
        <f t="shared" si="3"/>
        <v>939008</v>
      </c>
      <c r="AB86" s="252">
        <f t="shared" si="3"/>
        <v>1044200</v>
      </c>
      <c r="AC86" s="252">
        <f t="shared" si="3"/>
        <v>1077236</v>
      </c>
      <c r="AD86" s="252">
        <f t="shared" si="3"/>
        <v>1022618</v>
      </c>
      <c r="AE86" s="252">
        <f t="shared" si="3"/>
        <v>10700</v>
      </c>
      <c r="AF86" s="252">
        <f t="shared" si="3"/>
        <v>10700</v>
      </c>
      <c r="AG86" s="252">
        <f t="shared" si="3"/>
        <v>10700</v>
      </c>
      <c r="AH86" s="252">
        <f t="shared" si="3"/>
        <v>10700</v>
      </c>
      <c r="AI86" s="252">
        <f t="shared" si="3"/>
        <v>453680</v>
      </c>
      <c r="AJ86" s="252">
        <f t="shared" si="3"/>
        <v>565843</v>
      </c>
      <c r="AK86" s="252">
        <f t="shared" si="3"/>
        <v>598754</v>
      </c>
      <c r="AL86" s="252">
        <f t="shared" si="3"/>
        <v>552248</v>
      </c>
      <c r="AM86" s="252">
        <f t="shared" si="3"/>
        <v>545200</v>
      </c>
      <c r="AN86" s="252">
        <f t="shared" si="3"/>
        <v>397299</v>
      </c>
      <c r="AO86" s="252">
        <f t="shared" si="3"/>
        <v>394226</v>
      </c>
      <c r="AP86" s="252">
        <f t="shared" si="3"/>
        <v>1158178</v>
      </c>
      <c r="AQ86" s="252">
        <f>SUM(AQ21:AQ85)</f>
        <v>9000</v>
      </c>
      <c r="AR86" s="161"/>
    </row>
    <row r="87" spans="1:45" ht="13.5" thickBot="1" x14ac:dyDescent="0.35">
      <c r="A87" s="253"/>
      <c r="B87" s="254" t="s">
        <v>273</v>
      </c>
      <c r="C87" s="203">
        <f>C85+C80+C66+C57+C29+C25</f>
        <v>2716413.78</v>
      </c>
      <c r="D87" s="203">
        <f>D85+D80+D66+D57+D29+D25</f>
        <v>509084.08530000004</v>
      </c>
      <c r="E87" s="203">
        <f>E85+E80+E66+E57+E29+E25</f>
        <v>3225497.8654999994</v>
      </c>
      <c r="H87" s="542">
        <f>SUM(H86:AQ86)</f>
        <v>11751243</v>
      </c>
      <c r="I87" s="543"/>
      <c r="J87" s="543"/>
      <c r="K87" s="543"/>
      <c r="L87" s="543"/>
      <c r="M87" s="543"/>
      <c r="N87" s="543"/>
      <c r="O87" s="543"/>
      <c r="P87" s="543"/>
      <c r="Q87" s="543"/>
      <c r="R87" s="543"/>
      <c r="S87" s="543"/>
      <c r="T87" s="543"/>
      <c r="U87" s="543"/>
      <c r="V87" s="543"/>
      <c r="W87" s="543"/>
      <c r="X87" s="543"/>
      <c r="Y87" s="543"/>
      <c r="Z87" s="543"/>
      <c r="AA87" s="543"/>
      <c r="AB87" s="543"/>
      <c r="AC87" s="543"/>
      <c r="AD87" s="543"/>
      <c r="AE87" s="543"/>
      <c r="AF87" s="543"/>
      <c r="AG87" s="543"/>
      <c r="AH87" s="543"/>
      <c r="AI87" s="543"/>
      <c r="AJ87" s="543"/>
      <c r="AK87" s="543"/>
      <c r="AL87" s="543"/>
      <c r="AM87" s="543"/>
      <c r="AN87" s="543"/>
      <c r="AO87" s="543"/>
      <c r="AP87" s="543"/>
      <c r="AQ87" s="544"/>
      <c r="AS87" s="136">
        <f>E87/E91</f>
        <v>692360.07158649398</v>
      </c>
    </row>
    <row r="88" spans="1:45" ht="14.5" x14ac:dyDescent="0.35">
      <c r="A88" s="255"/>
      <c r="B88" s="256" t="s">
        <v>274</v>
      </c>
      <c r="C88" s="257">
        <f>C22+C23+C24+C29+C60+C61+C70</f>
        <v>2049772.6199999999</v>
      </c>
      <c r="D88" s="257">
        <f>D22+D23+D24+D29+D60+D61+D70</f>
        <v>389456.80779999995</v>
      </c>
      <c r="E88" s="257">
        <f>E22+E23+E24+E29+E60+E61+E70</f>
        <v>2439229.4279999994</v>
      </c>
      <c r="AS88" s="136">
        <f>E88/E91</f>
        <v>523585.85614012484</v>
      </c>
    </row>
    <row r="89" spans="1:45" ht="13" thickBot="1" x14ac:dyDescent="0.3">
      <c r="A89" s="258"/>
      <c r="B89" s="259" t="s">
        <v>275</v>
      </c>
      <c r="C89" s="260"/>
      <c r="D89" s="260"/>
      <c r="E89" s="260"/>
    </row>
    <row r="90" spans="1:45" x14ac:dyDescent="0.25">
      <c r="A90" s="261"/>
      <c r="B90" s="261"/>
      <c r="C90" s="262"/>
      <c r="D90" s="263"/>
      <c r="E90" s="264"/>
    </row>
    <row r="91" spans="1:45" ht="15" customHeight="1" x14ac:dyDescent="0.25">
      <c r="A91" s="545" t="s">
        <v>328</v>
      </c>
      <c r="B91" s="545"/>
      <c r="C91" s="545"/>
      <c r="D91" s="545"/>
      <c r="E91" s="265">
        <v>4.6586999999999996</v>
      </c>
    </row>
    <row r="92" spans="1:45" ht="13" x14ac:dyDescent="0.3">
      <c r="A92" s="261"/>
      <c r="B92" s="266"/>
      <c r="C92" s="267"/>
      <c r="D92" s="267"/>
      <c r="E92" s="268"/>
    </row>
    <row r="93" spans="1:45" ht="14.5" x14ac:dyDescent="0.35">
      <c r="A93" s="261"/>
      <c r="B93" s="269" t="s">
        <v>276</v>
      </c>
      <c r="C93" s="270"/>
      <c r="D93" s="271"/>
      <c r="E93" s="272"/>
      <c r="G93" s="2"/>
      <c r="H93" s="2"/>
      <c r="I93" s="2"/>
      <c r="J93" s="2" t="s">
        <v>438</v>
      </c>
      <c r="K93" s="2" t="s">
        <v>439</v>
      </c>
    </row>
    <row r="94" spans="1:45" ht="14.5" x14ac:dyDescent="0.35">
      <c r="A94" s="261"/>
      <c r="B94" s="273" t="s">
        <v>277</v>
      </c>
      <c r="C94" s="270"/>
      <c r="D94" s="546" t="s">
        <v>278</v>
      </c>
      <c r="E94" s="546"/>
      <c r="G94" s="2"/>
      <c r="H94" s="561"/>
      <c r="I94" s="562" t="s">
        <v>440</v>
      </c>
      <c r="J94" s="563">
        <f>E22+E23+E66+E70</f>
        <v>2468384.4179999996</v>
      </c>
      <c r="K94" s="563">
        <f>J94/4.652</f>
        <v>530607.14058469469</v>
      </c>
    </row>
    <row r="95" spans="1:45" ht="14.5" x14ac:dyDescent="0.35">
      <c r="A95" s="261"/>
      <c r="B95" s="274" t="s">
        <v>327</v>
      </c>
      <c r="C95" s="270"/>
      <c r="D95" s="547"/>
      <c r="E95" s="547"/>
      <c r="G95" s="2"/>
      <c r="H95" s="561"/>
      <c r="I95" s="562" t="s">
        <v>441</v>
      </c>
      <c r="J95" s="563">
        <f>E32+E39+E36+E47+E52+E73+E78</f>
        <v>628083.54</v>
      </c>
      <c r="K95" s="563">
        <f>J95/4.652</f>
        <v>135013.65864144455</v>
      </c>
    </row>
    <row r="96" spans="1:45" ht="13" x14ac:dyDescent="0.3">
      <c r="A96" s="270"/>
      <c r="B96" s="275"/>
      <c r="C96" s="276"/>
      <c r="D96" s="548"/>
      <c r="E96" s="548"/>
    </row>
    <row r="97" spans="1:5" x14ac:dyDescent="0.25">
      <c r="A97" s="270"/>
      <c r="B97" s="277"/>
      <c r="C97" s="277"/>
      <c r="D97" s="278"/>
      <c r="E97" s="279"/>
    </row>
    <row r="98" spans="1:5" x14ac:dyDescent="0.25">
      <c r="A98" s="280"/>
      <c r="B98" s="281"/>
      <c r="C98" s="282"/>
      <c r="D98" s="282"/>
      <c r="E98" s="283"/>
    </row>
    <row r="99" spans="1:5" x14ac:dyDescent="0.25">
      <c r="A99" s="284"/>
      <c r="B99" s="281"/>
      <c r="C99" s="282"/>
      <c r="D99" s="282"/>
      <c r="E99" s="285"/>
    </row>
    <row r="100" spans="1:5" x14ac:dyDescent="0.25">
      <c r="A100" s="286"/>
      <c r="B100" s="287" t="s">
        <v>127</v>
      </c>
      <c r="C100" s="286"/>
      <c r="D100" s="286"/>
      <c r="E100" s="286"/>
    </row>
    <row r="101" spans="1:5" ht="13" x14ac:dyDescent="0.3">
      <c r="A101" s="286"/>
      <c r="B101" s="288"/>
      <c r="C101" s="289"/>
      <c r="D101" s="286"/>
      <c r="E101" s="286"/>
    </row>
    <row r="102" spans="1:5" ht="13" x14ac:dyDescent="0.3">
      <c r="A102" s="286"/>
      <c r="B102" s="290" t="s">
        <v>279</v>
      </c>
      <c r="C102" s="289"/>
      <c r="D102" s="286"/>
      <c r="E102" s="286"/>
    </row>
    <row r="103" spans="1:5" ht="13" x14ac:dyDescent="0.3">
      <c r="A103" s="286"/>
      <c r="B103" s="291" t="s">
        <v>280</v>
      </c>
      <c r="C103" s="292"/>
      <c r="D103" s="286"/>
      <c r="E103" s="286"/>
    </row>
    <row r="104" spans="1:5" x14ac:dyDescent="0.25">
      <c r="A104" s="286"/>
      <c r="B104" s="293" t="s">
        <v>281</v>
      </c>
      <c r="C104" s="286"/>
      <c r="D104" s="286"/>
      <c r="E104" s="286"/>
    </row>
  </sheetData>
  <mergeCells count="20">
    <mergeCell ref="H87:AQ87"/>
    <mergeCell ref="A91:D91"/>
    <mergeCell ref="D94:E94"/>
    <mergeCell ref="D95:E95"/>
    <mergeCell ref="D96:E96"/>
    <mergeCell ref="A12:A16"/>
    <mergeCell ref="B12:B16"/>
    <mergeCell ref="C12:E13"/>
    <mergeCell ref="C14:C15"/>
    <mergeCell ref="D14:D15"/>
    <mergeCell ref="E14:E15"/>
    <mergeCell ref="A7:E7"/>
    <mergeCell ref="A8:E8"/>
    <mergeCell ref="I9:J9"/>
    <mergeCell ref="W9:AQ9"/>
    <mergeCell ref="B10:D10"/>
    <mergeCell ref="H10:S10"/>
    <mergeCell ref="T10:AE10"/>
    <mergeCell ref="AF10:AQ10"/>
    <mergeCell ref="A9:E9"/>
  </mergeCells>
  <conditionalFormatting sqref="B55">
    <cfRule type="dataBar" priority="1">
      <dataBar>
        <cfvo type="min"/>
        <cfvo type="max"/>
        <color rgb="FF638EC6"/>
      </dataBar>
    </cfRule>
  </conditionalFormatting>
  <pageMargins left="0.25" right="0.25" top="0.75" bottom="0.75" header="0.3" footer="0.3"/>
  <pageSetup paperSize="9" scale="9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6</vt:i4>
      </vt:variant>
    </vt:vector>
  </HeadingPairs>
  <TitlesOfParts>
    <vt:vector size="20" baseType="lpstr">
      <vt:lpstr>Indicatori 2</vt:lpstr>
      <vt:lpstr>Indicatori</vt:lpstr>
      <vt:lpstr>ACB</vt:lpstr>
      <vt:lpstr>bilant</vt:lpstr>
      <vt:lpstr>lot 4</vt:lpstr>
      <vt:lpstr>lot 4 foto</vt:lpstr>
      <vt:lpstr>AIL EXISTENT</vt:lpstr>
      <vt:lpstr>AIL PROIECTAT</vt:lpstr>
      <vt:lpstr>DG LED</vt:lpstr>
      <vt:lpstr>DG SODIU</vt:lpstr>
      <vt:lpstr>Energie</vt:lpstr>
      <vt:lpstr>Intretinere</vt:lpstr>
      <vt:lpstr>Existent</vt:lpstr>
      <vt:lpstr>Proiectat</vt:lpstr>
      <vt:lpstr>'AIL EXISTENT'!Print_Area</vt:lpstr>
      <vt:lpstr>'DG LED'!Print_Area</vt:lpstr>
      <vt:lpstr>'DG SODIU'!Print_Area</vt:lpstr>
      <vt:lpstr>'lot 4'!Print_Area</vt:lpstr>
      <vt:lpstr>'lot 4 foto'!Print_Area</vt:lpstr>
      <vt:lpstr>'lot 4'!Print_Titles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2018-07-23T17:42:22Z</dcterms:modified>
</cp:coreProperties>
</file>